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/>
  <xr:revisionPtr revIDLastSave="0" documentId="13_ncr:1_{04134554-6044-4141-81DC-8E207EBC0F3F}" xr6:coauthVersionLast="45" xr6:coauthVersionMax="45" xr10:uidLastSave="{00000000-0000-0000-0000-000000000000}"/>
  <bookViews>
    <workbookView xWindow="-120" yWindow="-120" windowWidth="20730" windowHeight="11160" tabRatio="1000" xr2:uid="{00000000-000D-0000-FFFF-FFFF00000000}"/>
  </bookViews>
  <sheets>
    <sheet name="רווח והפסד 2014 -2016" sheetId="1" r:id="rId1"/>
    <sheet name="מאזן 2014 - 2016" sheetId="2" r:id="rId2"/>
    <sheet name="תזרים מזומנים 2014 - 2016" sheetId="4" r:id="rId3"/>
    <sheet name="EBITDA" sheetId="7" r:id="rId4"/>
    <sheet name="דירוג" sheetId="25" r:id="rId5"/>
    <sheet name="רו&quot;ח" sheetId="9" r:id="rId6"/>
    <sheet name="מאזן" sheetId="8" r:id="rId7"/>
    <sheet name="מאזן3" sheetId="16" r:id="rId8"/>
    <sheet name="מאזן5" sheetId="17" r:id="rId9"/>
    <sheet name="תזרים" sheetId="10" r:id="rId10"/>
    <sheet name="תזרים קצר" sheetId="18" r:id="rId11"/>
    <sheet name="יחסים" sheetId="11" r:id="rId12"/>
    <sheet name="יחסים 2" sheetId="19" r:id="rId13"/>
    <sheet name="EVEBITDA" sheetId="20" r:id="rId14"/>
    <sheet name="אלתמן" sheetId="23" r:id="rId15"/>
    <sheet name="ניתוח מגזרי פעילות" sheetId="29" r:id="rId16"/>
    <sheet name="מגזרי פעילות" sheetId="41" r:id="rId17"/>
    <sheet name="-פחת ורכוש קבוע" sheetId="31" r:id="rId18"/>
    <sheet name="ציוד" sheetId="32" r:id="rId19"/>
    <sheet name="WACC1" sheetId="37" r:id="rId20"/>
    <sheet name="WACC" sheetId="38" r:id="rId21"/>
    <sheet name="הערכת השווי" sheetId="30" r:id="rId22"/>
    <sheet name="טבלת רגישות אופטימית" sheetId="43" r:id="rId23"/>
    <sheet name="טבלת רגישות רגילה" sheetId="44" r:id="rId24"/>
    <sheet name="צבר הזמנות" sheetId="39" r:id="rId25"/>
    <sheet name="יחס בין חציונים" sheetId="40" r:id="rId26"/>
    <sheet name="צמיחה" sheetId="34" r:id="rId27"/>
    <sheet name="מכירות מנוטרלות פעילות המים" sheetId="42" r:id="rId28"/>
  </sheets>
  <definedNames>
    <definedName name="_xlnm._FilterDatabase" localSheetId="6" hidden="1">מאזן!$B$1:$AM$1</definedName>
    <definedName name="_xlnm._FilterDatabase" localSheetId="8" hidden="1">מאזן5!$A$1:$D$26</definedName>
    <definedName name="_xlnm._FilterDatabase" localSheetId="9" hidden="1">תזרים!$B$1:$Z$1</definedName>
    <definedName name="_xlnm._FilterDatabase" localSheetId="2" hidden="1">'תזרים מזומנים 2014 - 2016'!$A$1:$D$50</definedName>
    <definedName name="_xlnm._FilterDatabase" localSheetId="10" hidden="1">'תזרים קצר'!$A$1:$F$50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0" i="39" l="1"/>
  <c r="C13" i="39"/>
  <c r="N48" i="30" l="1"/>
  <c r="O48" i="30" s="1"/>
  <c r="P48" i="30" s="1"/>
  <c r="K46" i="30"/>
  <c r="J46" i="30"/>
  <c r="I46" i="30"/>
  <c r="H46" i="30"/>
  <c r="G46" i="30"/>
  <c r="F46" i="30"/>
  <c r="N45" i="30"/>
  <c r="M45" i="30"/>
  <c r="L43" i="30"/>
  <c r="K43" i="30"/>
  <c r="J43" i="30"/>
  <c r="I43" i="30"/>
  <c r="H43" i="30"/>
  <c r="G43" i="30"/>
  <c r="F43" i="30"/>
  <c r="C43" i="30"/>
  <c r="K41" i="30"/>
  <c r="K47" i="30" s="1"/>
  <c r="J41" i="30"/>
  <c r="J47" i="30" s="1"/>
  <c r="I41" i="30"/>
  <c r="I47" i="30" s="1"/>
  <c r="H41" i="30"/>
  <c r="H47" i="30" s="1"/>
  <c r="G41" i="30"/>
  <c r="G47" i="30" s="1"/>
  <c r="F41" i="30"/>
  <c r="F47" i="30" s="1"/>
  <c r="L39" i="30"/>
  <c r="K39" i="30"/>
  <c r="J39" i="30"/>
  <c r="I39" i="30"/>
  <c r="H39" i="30"/>
  <c r="G39" i="30"/>
  <c r="F39" i="30"/>
  <c r="K38" i="30"/>
  <c r="J38" i="30"/>
  <c r="I38" i="30"/>
  <c r="H38" i="30"/>
  <c r="G38" i="30"/>
  <c r="F38" i="30"/>
  <c r="L37" i="30"/>
  <c r="L41" i="30" s="1"/>
  <c r="L47" i="30" s="1"/>
  <c r="C37" i="30"/>
  <c r="C38" i="30" s="1"/>
  <c r="K36" i="30"/>
  <c r="J36" i="30"/>
  <c r="I36" i="30"/>
  <c r="H36" i="30"/>
  <c r="G36" i="30"/>
  <c r="M35" i="30"/>
  <c r="M46" i="30" l="1"/>
  <c r="N35" i="30"/>
  <c r="N37" i="30" s="1"/>
  <c r="N40" i="30" s="1"/>
  <c r="L38" i="30"/>
  <c r="M37" i="30"/>
  <c r="M42" i="30"/>
  <c r="O45" i="30"/>
  <c r="N13" i="30"/>
  <c r="M13" i="30"/>
  <c r="D5" i="42"/>
  <c r="E5" i="42"/>
  <c r="E6" i="42" s="1"/>
  <c r="F5" i="42"/>
  <c r="G5" i="42"/>
  <c r="C5" i="42"/>
  <c r="L7" i="30"/>
  <c r="F7" i="30"/>
  <c r="G7" i="30"/>
  <c r="H7" i="30"/>
  <c r="I7" i="30"/>
  <c r="J7" i="30"/>
  <c r="K7" i="30"/>
  <c r="G9" i="30"/>
  <c r="H9" i="30"/>
  <c r="H15" i="30" s="1"/>
  <c r="I9" i="30"/>
  <c r="I15" i="30" s="1"/>
  <c r="J9" i="30"/>
  <c r="J15" i="30" s="1"/>
  <c r="K9" i="30"/>
  <c r="K15" i="30" s="1"/>
  <c r="F9" i="30"/>
  <c r="F15" i="30" s="1"/>
  <c r="F14" i="30"/>
  <c r="G14" i="30"/>
  <c r="H14" i="30"/>
  <c r="I14" i="30"/>
  <c r="J14" i="30"/>
  <c r="K14" i="30"/>
  <c r="G15" i="30"/>
  <c r="M3" i="30"/>
  <c r="N3" i="30" s="1"/>
  <c r="F6" i="42" l="1"/>
  <c r="N42" i="30"/>
  <c r="O35" i="30"/>
  <c r="O46" i="30" s="1"/>
  <c r="N41" i="30"/>
  <c r="N46" i="30"/>
  <c r="P45" i="30"/>
  <c r="M41" i="30"/>
  <c r="M47" i="30" s="1"/>
  <c r="M49" i="30" s="1"/>
  <c r="M40" i="30"/>
  <c r="P35" i="30"/>
  <c r="O37" i="30"/>
  <c r="O13" i="30"/>
  <c r="P13" i="30"/>
  <c r="O3" i="30"/>
  <c r="P3" i="30" s="1"/>
  <c r="M14" i="30"/>
  <c r="G6" i="42"/>
  <c r="D6" i="42"/>
  <c r="H6" i="42" s="1"/>
  <c r="D7" i="29"/>
  <c r="E7" i="29"/>
  <c r="F7" i="29"/>
  <c r="G7" i="29"/>
  <c r="H7" i="29"/>
  <c r="I7" i="29"/>
  <c r="C7" i="29"/>
  <c r="J7" i="29" s="1"/>
  <c r="R4" i="30"/>
  <c r="P7" i="39"/>
  <c r="P8" i="39" s="1"/>
  <c r="K4" i="40"/>
  <c r="S4" i="40"/>
  <c r="AA4" i="40"/>
  <c r="AI4" i="40"/>
  <c r="AQ4" i="40"/>
  <c r="AY4" i="40"/>
  <c r="BG4" i="40"/>
  <c r="BO4" i="40"/>
  <c r="BW4" i="40"/>
  <c r="CE4" i="40"/>
  <c r="CM4" i="40"/>
  <c r="M5" i="39"/>
  <c r="M4" i="39"/>
  <c r="CT3" i="40"/>
  <c r="CR3" i="40"/>
  <c r="CS4" i="40" s="1"/>
  <c r="CP3" i="40"/>
  <c r="CQ4" i="40" s="1"/>
  <c r="CN3" i="40"/>
  <c r="CO4" i="40" s="1"/>
  <c r="CL3" i="40"/>
  <c r="CJ3" i="40"/>
  <c r="CK4" i="40" s="1"/>
  <c r="CH3" i="40"/>
  <c r="CI4" i="40" s="1"/>
  <c r="CF3" i="40"/>
  <c r="CG4" i="40" s="1"/>
  <c r="CD3" i="40"/>
  <c r="CB3" i="40"/>
  <c r="CC4" i="40" s="1"/>
  <c r="BZ3" i="40"/>
  <c r="CA4" i="40" s="1"/>
  <c r="BX3" i="40"/>
  <c r="BY4" i="40" s="1"/>
  <c r="BV3" i="40"/>
  <c r="BT3" i="40"/>
  <c r="BU4" i="40" s="1"/>
  <c r="BR3" i="40"/>
  <c r="BS4" i="40" s="1"/>
  <c r="BP3" i="40"/>
  <c r="BQ4" i="40" s="1"/>
  <c r="BN3" i="40"/>
  <c r="BL3" i="40"/>
  <c r="BM4" i="40" s="1"/>
  <c r="BJ3" i="40"/>
  <c r="BK4" i="40" s="1"/>
  <c r="BH3" i="40"/>
  <c r="BI4" i="40" s="1"/>
  <c r="BF3" i="40"/>
  <c r="BD3" i="40"/>
  <c r="BE4" i="40" s="1"/>
  <c r="BB3" i="40"/>
  <c r="BC4" i="40" s="1"/>
  <c r="AZ3" i="40"/>
  <c r="BA4" i="40" s="1"/>
  <c r="AX3" i="40"/>
  <c r="AV3" i="40"/>
  <c r="AW4" i="40" s="1"/>
  <c r="AT3" i="40"/>
  <c r="AU4" i="40" s="1"/>
  <c r="AR3" i="40"/>
  <c r="AS4" i="40" s="1"/>
  <c r="AP3" i="40"/>
  <c r="AN3" i="40"/>
  <c r="AO4" i="40" s="1"/>
  <c r="AL3" i="40"/>
  <c r="AM4" i="40" s="1"/>
  <c r="AJ3" i="40"/>
  <c r="AK4" i="40" s="1"/>
  <c r="AH3" i="40"/>
  <c r="AF3" i="40"/>
  <c r="AG4" i="40" s="1"/>
  <c r="AD3" i="40"/>
  <c r="AE4" i="40" s="1"/>
  <c r="AB3" i="40"/>
  <c r="AC4" i="40" s="1"/>
  <c r="Z3" i="40"/>
  <c r="X3" i="40"/>
  <c r="Y4" i="40" s="1"/>
  <c r="V3" i="40"/>
  <c r="W4" i="40" s="1"/>
  <c r="T3" i="40"/>
  <c r="U4" i="40" s="1"/>
  <c r="R3" i="40"/>
  <c r="P3" i="40"/>
  <c r="Q4" i="40" s="1"/>
  <c r="N3" i="40"/>
  <c r="O4" i="40" s="1"/>
  <c r="L3" i="40"/>
  <c r="M4" i="40" s="1"/>
  <c r="J3" i="40"/>
  <c r="H3" i="40"/>
  <c r="I4" i="40" s="1"/>
  <c r="F3" i="40"/>
  <c r="G4" i="40" s="1"/>
  <c r="D3" i="40"/>
  <c r="E4" i="40" s="1"/>
  <c r="B5" i="40" l="1"/>
  <c r="B6" i="40" s="1"/>
  <c r="P10" i="30"/>
  <c r="P5" i="30"/>
  <c r="N47" i="30"/>
  <c r="N49" i="30" s="1"/>
  <c r="O42" i="30"/>
  <c r="P42" i="30"/>
  <c r="P37" i="30"/>
  <c r="P46" i="30"/>
  <c r="O41" i="30"/>
  <c r="O47" i="30" s="1"/>
  <c r="O49" i="30" s="1"/>
  <c r="O40" i="30"/>
  <c r="I13" i="39"/>
  <c r="T3" i="39"/>
  <c r="S3" i="39"/>
  <c r="D10" i="39"/>
  <c r="E10" i="39"/>
  <c r="F10" i="39"/>
  <c r="H3" i="39" s="1"/>
  <c r="D11" i="39"/>
  <c r="E11" i="39"/>
  <c r="F11" i="39"/>
  <c r="H4" i="39" s="1"/>
  <c r="D12" i="39"/>
  <c r="E12" i="39"/>
  <c r="F12" i="39"/>
  <c r="D13" i="39"/>
  <c r="E13" i="39"/>
  <c r="F13" i="39"/>
  <c r="C11" i="39"/>
  <c r="K4" i="39" s="1"/>
  <c r="C12" i="39"/>
  <c r="K5" i="39" s="1"/>
  <c r="K3" i="39"/>
  <c r="C4" i="39"/>
  <c r="C3" i="39"/>
  <c r="C5" i="39"/>
  <c r="D3" i="39"/>
  <c r="D5" i="39"/>
  <c r="D4" i="39"/>
  <c r="F6" i="39"/>
  <c r="F5" i="39"/>
  <c r="F4" i="39"/>
  <c r="I4" i="39" l="1"/>
  <c r="P41" i="30"/>
  <c r="P47" i="30" s="1"/>
  <c r="P49" i="30" s="1"/>
  <c r="C35" i="30" s="1"/>
  <c r="C40" i="30" s="1"/>
  <c r="C42" i="30" s="1"/>
  <c r="C44" i="30" s="1"/>
  <c r="E52" i="30" s="1"/>
  <c r="P40" i="30"/>
  <c r="J5" i="39"/>
  <c r="I3" i="39"/>
  <c r="J3" i="39"/>
  <c r="L3" i="39" s="1"/>
  <c r="I5" i="39"/>
  <c r="J4" i="39"/>
  <c r="C11" i="30"/>
  <c r="L4" i="39" l="1"/>
  <c r="K11" i="39" s="1"/>
  <c r="L5" i="39"/>
  <c r="J12" i="39" s="1"/>
  <c r="C45" i="30"/>
  <c r="N4" i="39"/>
  <c r="L11" i="39"/>
  <c r="N3" i="39"/>
  <c r="N7" i="39" s="1"/>
  <c r="K10" i="39"/>
  <c r="J10" i="39"/>
  <c r="L10" i="39"/>
  <c r="I10" i="39"/>
  <c r="L12" i="39"/>
  <c r="I12" i="39"/>
  <c r="N5" i="39"/>
  <c r="K12" i="39"/>
  <c r="C5" i="30"/>
  <c r="C6" i="30" s="1"/>
  <c r="B16" i="38"/>
  <c r="B15" i="38"/>
  <c r="B7" i="38"/>
  <c r="B4" i="38"/>
  <c r="B6" i="38" s="1"/>
  <c r="B9" i="38" s="1"/>
  <c r="E9" i="37"/>
  <c r="E10" i="37" s="1"/>
  <c r="M4" i="37"/>
  <c r="M8" i="37"/>
  <c r="M9" i="37" s="1"/>
  <c r="J6" i="37"/>
  <c r="I6" i="37"/>
  <c r="I5" i="37"/>
  <c r="B17" i="38" l="1"/>
  <c r="I11" i="39"/>
  <c r="J11" i="39"/>
  <c r="M11" i="37"/>
  <c r="R7" i="39"/>
  <c r="C87" i="8"/>
  <c r="D87" i="8"/>
  <c r="E87" i="8"/>
  <c r="F87" i="8"/>
  <c r="G87" i="8"/>
  <c r="R1" i="19" l="1"/>
  <c r="S1" i="19" s="1"/>
  <c r="T1" i="19" s="1"/>
  <c r="U1" i="19" s="1"/>
  <c r="S3" i="34"/>
  <c r="S4" i="34"/>
  <c r="S2" i="34"/>
  <c r="C8" i="34"/>
  <c r="F10" i="34"/>
  <c r="N16" i="30" l="1"/>
  <c r="O16" i="30" s="1"/>
  <c r="P16" i="30" s="1"/>
  <c r="D4" i="32" l="1"/>
  <c r="E4" i="32"/>
  <c r="C2" i="32"/>
  <c r="D3" i="32"/>
  <c r="B3" i="32" s="1"/>
  <c r="D2" i="32"/>
  <c r="C4" i="32" s="1"/>
  <c r="F1" i="32"/>
  <c r="G1" i="32" s="1"/>
  <c r="H1" i="32" s="1"/>
  <c r="I1" i="32" s="1"/>
  <c r="J1" i="32" s="1"/>
  <c r="K1" i="32" s="1"/>
  <c r="K4" i="32" s="1"/>
  <c r="G22" i="8"/>
  <c r="E22" i="8" s="1"/>
  <c r="D22" i="8" s="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B30" i="31"/>
  <c r="B22" i="31"/>
  <c r="C22" i="31" s="1"/>
  <c r="D22" i="31" s="1"/>
  <c r="E22" i="31" s="1"/>
  <c r="F22" i="31" s="1"/>
  <c r="G22" i="31" s="1"/>
  <c r="H22" i="31" s="1"/>
  <c r="I22" i="31" s="1"/>
  <c r="J22" i="31" s="1"/>
  <c r="K22" i="31" s="1"/>
  <c r="L22" i="31" s="1"/>
  <c r="M22" i="31" s="1"/>
  <c r="N22" i="31" s="1"/>
  <c r="O22" i="31" s="1"/>
  <c r="P22" i="31" s="1"/>
  <c r="Q22" i="31" s="1"/>
  <c r="R22" i="31" s="1"/>
  <c r="S22" i="31" s="1"/>
  <c r="T22" i="31" s="1"/>
  <c r="U22" i="31" s="1"/>
  <c r="V22" i="31" s="1"/>
  <c r="W22" i="31" s="1"/>
  <c r="X22" i="31" s="1"/>
  <c r="Y22" i="31" s="1"/>
  <c r="G11" i="30"/>
  <c r="H11" i="30"/>
  <c r="I11" i="30"/>
  <c r="J11" i="30"/>
  <c r="K11" i="30"/>
  <c r="F11" i="30"/>
  <c r="L11" i="30"/>
  <c r="H20" i="31"/>
  <c r="F19" i="31"/>
  <c r="F20" i="31" s="1"/>
  <c r="G19" i="31"/>
  <c r="G20" i="31" s="1"/>
  <c r="H19" i="31"/>
  <c r="E19" i="31"/>
  <c r="E20" i="31" s="1"/>
  <c r="F11" i="31"/>
  <c r="G11" i="31"/>
  <c r="H11" i="31"/>
  <c r="F8" i="31"/>
  <c r="G8" i="31"/>
  <c r="H8" i="31"/>
  <c r="F14" i="31"/>
  <c r="G14" i="31"/>
  <c r="H14" i="31"/>
  <c r="D20" i="31"/>
  <c r="D19" i="31"/>
  <c r="C19" i="31"/>
  <c r="C20" i="31" s="1"/>
  <c r="E17" i="31"/>
  <c r="D17" i="31"/>
  <c r="C17" i="31"/>
  <c r="E14" i="31"/>
  <c r="D14" i="31"/>
  <c r="C14" i="31"/>
  <c r="E11" i="31"/>
  <c r="D11" i="31"/>
  <c r="C11" i="31"/>
  <c r="D8" i="31"/>
  <c r="E8" i="31"/>
  <c r="C8" i="31"/>
  <c r="D5" i="31"/>
  <c r="E5" i="31" s="1"/>
  <c r="B3" i="31"/>
  <c r="L5" i="30"/>
  <c r="G6" i="30"/>
  <c r="H6" i="30"/>
  <c r="I6" i="30"/>
  <c r="J6" i="30"/>
  <c r="K6" i="30"/>
  <c r="F6" i="30"/>
  <c r="H4" i="30"/>
  <c r="I4" i="30"/>
  <c r="J4" i="30"/>
  <c r="K4" i="30"/>
  <c r="G4" i="30"/>
  <c r="N28" i="9"/>
  <c r="J4" i="32" l="1"/>
  <c r="F4" i="32"/>
  <c r="I4" i="32"/>
  <c r="H4" i="32"/>
  <c r="G4" i="32"/>
  <c r="L9" i="30"/>
  <c r="L15" i="30" s="1"/>
  <c r="O10" i="30"/>
  <c r="M10" i="30"/>
  <c r="L6" i="30"/>
  <c r="N14" i="30"/>
  <c r="B2" i="32"/>
  <c r="B4" i="32" s="1"/>
  <c r="J6" i="20"/>
  <c r="D5" i="20"/>
  <c r="B5" i="20"/>
  <c r="C6" i="20"/>
  <c r="C5" i="20"/>
  <c r="B6" i="20"/>
  <c r="D6" i="20"/>
  <c r="E6" i="20"/>
  <c r="F6" i="20"/>
  <c r="G6" i="20"/>
  <c r="H6" i="20"/>
  <c r="I6" i="20"/>
  <c r="K6" i="20"/>
  <c r="L6" i="20"/>
  <c r="O14" i="30" l="1"/>
  <c r="N10" i="30"/>
  <c r="C27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P27" i="23"/>
  <c r="Q27" i="23"/>
  <c r="R27" i="23"/>
  <c r="S27" i="23"/>
  <c r="T27" i="23"/>
  <c r="U27" i="23"/>
  <c r="V27" i="23"/>
  <c r="W27" i="23"/>
  <c r="X27" i="23"/>
  <c r="B27" i="23"/>
  <c r="C26" i="23"/>
  <c r="D26" i="23"/>
  <c r="E26" i="23"/>
  <c r="F26" i="23"/>
  <c r="G26" i="23"/>
  <c r="H26" i="23"/>
  <c r="I26" i="23"/>
  <c r="J26" i="23"/>
  <c r="K26" i="23"/>
  <c r="L26" i="23"/>
  <c r="M26" i="23"/>
  <c r="N26" i="23"/>
  <c r="O26" i="23"/>
  <c r="P26" i="23"/>
  <c r="Q26" i="23"/>
  <c r="R26" i="23"/>
  <c r="S26" i="23"/>
  <c r="T26" i="23"/>
  <c r="U26" i="23"/>
  <c r="V26" i="23"/>
  <c r="W26" i="23"/>
  <c r="X26" i="23"/>
  <c r="B26" i="23"/>
  <c r="C24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P24" i="23"/>
  <c r="Q24" i="23"/>
  <c r="R24" i="23"/>
  <c r="S24" i="23"/>
  <c r="T24" i="23"/>
  <c r="U24" i="23"/>
  <c r="V24" i="23"/>
  <c r="W24" i="23"/>
  <c r="X24" i="23"/>
  <c r="B24" i="23"/>
  <c r="C22" i="23"/>
  <c r="C25" i="23" s="1"/>
  <c r="D22" i="23"/>
  <c r="D25" i="23" s="1"/>
  <c r="E22" i="23"/>
  <c r="E25" i="23" s="1"/>
  <c r="F22" i="23"/>
  <c r="F25" i="23" s="1"/>
  <c r="G22" i="23"/>
  <c r="G25" i="23" s="1"/>
  <c r="H22" i="23"/>
  <c r="H25" i="23" s="1"/>
  <c r="I22" i="23"/>
  <c r="I25" i="23" s="1"/>
  <c r="J22" i="23"/>
  <c r="J25" i="23" s="1"/>
  <c r="K22" i="23"/>
  <c r="K25" i="23" s="1"/>
  <c r="L22" i="23"/>
  <c r="L25" i="23" s="1"/>
  <c r="M22" i="23"/>
  <c r="M25" i="23" s="1"/>
  <c r="N22" i="23"/>
  <c r="N25" i="23" s="1"/>
  <c r="O22" i="23"/>
  <c r="O25" i="23" s="1"/>
  <c r="P22" i="23"/>
  <c r="P25" i="23" s="1"/>
  <c r="Q22" i="23"/>
  <c r="Q25" i="23" s="1"/>
  <c r="R22" i="23"/>
  <c r="R25" i="23" s="1"/>
  <c r="S22" i="23"/>
  <c r="S25" i="23" s="1"/>
  <c r="T22" i="23"/>
  <c r="T25" i="23" s="1"/>
  <c r="U22" i="23"/>
  <c r="U25" i="23" s="1"/>
  <c r="V22" i="23"/>
  <c r="V25" i="23" s="1"/>
  <c r="W22" i="23"/>
  <c r="W25" i="23" s="1"/>
  <c r="X22" i="23"/>
  <c r="X25" i="23" s="1"/>
  <c r="B22" i="23"/>
  <c r="B25" i="23" s="1"/>
  <c r="X19" i="23"/>
  <c r="X23" i="23" s="1"/>
  <c r="C19" i="23"/>
  <c r="C23" i="23" s="1"/>
  <c r="D19" i="23"/>
  <c r="D23" i="23" s="1"/>
  <c r="E19" i="23"/>
  <c r="E23" i="23" s="1"/>
  <c r="F19" i="23"/>
  <c r="F23" i="23" s="1"/>
  <c r="G19" i="23"/>
  <c r="G23" i="23" s="1"/>
  <c r="H19" i="23"/>
  <c r="H23" i="23" s="1"/>
  <c r="I19" i="23"/>
  <c r="I23" i="23" s="1"/>
  <c r="J19" i="23"/>
  <c r="J23" i="23" s="1"/>
  <c r="K19" i="23"/>
  <c r="K23" i="23" s="1"/>
  <c r="L19" i="23"/>
  <c r="L23" i="23" s="1"/>
  <c r="M19" i="23"/>
  <c r="M23" i="23" s="1"/>
  <c r="N19" i="23"/>
  <c r="N23" i="23" s="1"/>
  <c r="O19" i="23"/>
  <c r="O23" i="23" s="1"/>
  <c r="P19" i="23"/>
  <c r="P23" i="23" s="1"/>
  <c r="Q19" i="23"/>
  <c r="Q23" i="23" s="1"/>
  <c r="R19" i="23"/>
  <c r="R23" i="23" s="1"/>
  <c r="S19" i="23"/>
  <c r="S23" i="23" s="1"/>
  <c r="T19" i="23"/>
  <c r="T23" i="23" s="1"/>
  <c r="U19" i="23"/>
  <c r="U23" i="23" s="1"/>
  <c r="V19" i="23"/>
  <c r="V23" i="23" s="1"/>
  <c r="W19" i="23"/>
  <c r="W23" i="23" s="1"/>
  <c r="B19" i="23"/>
  <c r="B23" i="23" s="1"/>
  <c r="C9" i="23"/>
  <c r="D9" i="23" s="1"/>
  <c r="E9" i="23" s="1"/>
  <c r="F9" i="23" s="1"/>
  <c r="G9" i="23" s="1"/>
  <c r="H9" i="23" s="1"/>
  <c r="I9" i="23" s="1"/>
  <c r="J9" i="23" s="1"/>
  <c r="K9" i="23" s="1"/>
  <c r="L9" i="23" s="1"/>
  <c r="M9" i="23" s="1"/>
  <c r="N9" i="23" s="1"/>
  <c r="O9" i="23" s="1"/>
  <c r="P9" i="23" s="1"/>
  <c r="Q9" i="23" s="1"/>
  <c r="R9" i="23" s="1"/>
  <c r="S9" i="23" s="1"/>
  <c r="T9" i="23" s="1"/>
  <c r="U9" i="23" s="1"/>
  <c r="V9" i="23" s="1"/>
  <c r="W9" i="23" s="1"/>
  <c r="X9" i="23" s="1"/>
  <c r="C106" i="19"/>
  <c r="B67" i="19"/>
  <c r="B50" i="19"/>
  <c r="U28" i="23" l="1"/>
  <c r="Q28" i="23"/>
  <c r="M28" i="23"/>
  <c r="I28" i="23"/>
  <c r="E28" i="23"/>
  <c r="P14" i="30"/>
  <c r="B28" i="23"/>
  <c r="T28" i="23"/>
  <c r="P28" i="23"/>
  <c r="L28" i="23"/>
  <c r="H28" i="23"/>
  <c r="D28" i="23"/>
  <c r="W28" i="23"/>
  <c r="S28" i="23"/>
  <c r="O28" i="23"/>
  <c r="K28" i="23"/>
  <c r="G28" i="23"/>
  <c r="C28" i="23"/>
  <c r="V28" i="23"/>
  <c r="R28" i="23"/>
  <c r="N28" i="23"/>
  <c r="J28" i="23"/>
  <c r="F28" i="23"/>
  <c r="X28" i="23"/>
  <c r="E5" i="20"/>
  <c r="F5" i="20"/>
  <c r="G5" i="20"/>
  <c r="H5" i="20"/>
  <c r="J5" i="20"/>
  <c r="L5" i="20"/>
  <c r="P9" i="30" l="1"/>
  <c r="P15" i="30" s="1"/>
  <c r="P17" i="30" s="1"/>
  <c r="P8" i="30"/>
  <c r="G24" i="19"/>
  <c r="B17" i="19"/>
  <c r="C9" i="8"/>
  <c r="M113" i="19"/>
  <c r="L113" i="19"/>
  <c r="K113" i="19"/>
  <c r="J113" i="19"/>
  <c r="I113" i="19"/>
  <c r="H113" i="19"/>
  <c r="G113" i="19"/>
  <c r="F113" i="19"/>
  <c r="E113" i="19"/>
  <c r="D113" i="19"/>
  <c r="C113" i="19"/>
  <c r="B112" i="19"/>
  <c r="B113" i="19" s="1"/>
  <c r="M106" i="19"/>
  <c r="M110" i="19" s="1"/>
  <c r="L106" i="19"/>
  <c r="L110" i="19" s="1"/>
  <c r="K106" i="19"/>
  <c r="K110" i="19" s="1"/>
  <c r="J106" i="19"/>
  <c r="J110" i="19" s="1"/>
  <c r="I106" i="19"/>
  <c r="I110" i="19" s="1"/>
  <c r="H106" i="19"/>
  <c r="H110" i="19" s="1"/>
  <c r="G106" i="19"/>
  <c r="G110" i="19" s="1"/>
  <c r="F106" i="19"/>
  <c r="F110" i="19" s="1"/>
  <c r="E106" i="19"/>
  <c r="E110" i="19" s="1"/>
  <c r="D106" i="19"/>
  <c r="D110" i="19" s="1"/>
  <c r="C110" i="19"/>
  <c r="B101" i="19"/>
  <c r="B106" i="19" s="1"/>
  <c r="M99" i="19"/>
  <c r="L99" i="19"/>
  <c r="K99" i="19"/>
  <c r="J99" i="19"/>
  <c r="I99" i="19"/>
  <c r="H99" i="19"/>
  <c r="G99" i="19"/>
  <c r="F99" i="19"/>
  <c r="E99" i="19"/>
  <c r="D99" i="19"/>
  <c r="C99" i="19"/>
  <c r="M96" i="19"/>
  <c r="L96" i="19"/>
  <c r="K96" i="19"/>
  <c r="J96" i="19"/>
  <c r="I96" i="19"/>
  <c r="H96" i="19"/>
  <c r="G96" i="19"/>
  <c r="F96" i="19"/>
  <c r="E96" i="19"/>
  <c r="D96" i="19"/>
  <c r="C96" i="19"/>
  <c r="D92" i="19"/>
  <c r="E92" i="19" s="1"/>
  <c r="F92" i="19" s="1"/>
  <c r="G92" i="19" s="1"/>
  <c r="H92" i="19" s="1"/>
  <c r="I92" i="19" s="1"/>
  <c r="J92" i="19" s="1"/>
  <c r="K92" i="19" s="1"/>
  <c r="L92" i="19" s="1"/>
  <c r="M92" i="19" s="1"/>
  <c r="M90" i="19"/>
  <c r="L90" i="19"/>
  <c r="K90" i="19"/>
  <c r="J90" i="19"/>
  <c r="I90" i="19"/>
  <c r="H90" i="19"/>
  <c r="G90" i="19"/>
  <c r="F90" i="19"/>
  <c r="E90" i="19"/>
  <c r="D90" i="19"/>
  <c r="C90" i="19"/>
  <c r="B85" i="19"/>
  <c r="M84" i="19"/>
  <c r="M86" i="19" s="1"/>
  <c r="L84" i="19"/>
  <c r="L86" i="19" s="1"/>
  <c r="K84" i="19"/>
  <c r="K86" i="19" s="1"/>
  <c r="J84" i="19"/>
  <c r="J86" i="19" s="1"/>
  <c r="I84" i="19"/>
  <c r="I86" i="19" s="1"/>
  <c r="H84" i="19"/>
  <c r="H86" i="19" s="1"/>
  <c r="G84" i="19"/>
  <c r="G86" i="19" s="1"/>
  <c r="F84" i="19"/>
  <c r="F86" i="19" s="1"/>
  <c r="E84" i="19"/>
  <c r="E86" i="19" s="1"/>
  <c r="D84" i="19"/>
  <c r="D86" i="19" s="1"/>
  <c r="C84" i="19"/>
  <c r="C86" i="19" s="1"/>
  <c r="B84" i="19"/>
  <c r="B86" i="19" s="1"/>
  <c r="B89" i="19" s="1"/>
  <c r="B80" i="19"/>
  <c r="M79" i="19"/>
  <c r="M81" i="19" s="1"/>
  <c r="L79" i="19"/>
  <c r="L81" i="19" s="1"/>
  <c r="K79" i="19"/>
  <c r="K81" i="19" s="1"/>
  <c r="J79" i="19"/>
  <c r="J81" i="19" s="1"/>
  <c r="I79" i="19"/>
  <c r="I81" i="19" s="1"/>
  <c r="H79" i="19"/>
  <c r="H81" i="19" s="1"/>
  <c r="G79" i="19"/>
  <c r="G81" i="19" s="1"/>
  <c r="F79" i="19"/>
  <c r="F81" i="19" s="1"/>
  <c r="E79" i="19"/>
  <c r="E81" i="19" s="1"/>
  <c r="D79" i="19"/>
  <c r="D81" i="19" s="1"/>
  <c r="C79" i="19"/>
  <c r="C81" i="19" s="1"/>
  <c r="B79" i="19"/>
  <c r="B81" i="19" s="1"/>
  <c r="B88" i="19" s="1"/>
  <c r="M74" i="19"/>
  <c r="M76" i="19" s="1"/>
  <c r="L74" i="19"/>
  <c r="L76" i="19" s="1"/>
  <c r="K74" i="19"/>
  <c r="K76" i="19" s="1"/>
  <c r="J74" i="19"/>
  <c r="J76" i="19" s="1"/>
  <c r="I74" i="19"/>
  <c r="I76" i="19" s="1"/>
  <c r="H74" i="19"/>
  <c r="H76" i="19" s="1"/>
  <c r="G74" i="19"/>
  <c r="G76" i="19" s="1"/>
  <c r="F74" i="19"/>
  <c r="F76" i="19" s="1"/>
  <c r="E74" i="19"/>
  <c r="E76" i="19" s="1"/>
  <c r="D74" i="19"/>
  <c r="D76" i="19" s="1"/>
  <c r="C74" i="19"/>
  <c r="C76" i="19" s="1"/>
  <c r="B74" i="19"/>
  <c r="B76" i="19" s="1"/>
  <c r="B87" i="19" s="1"/>
  <c r="B90" i="19" s="1"/>
  <c r="D71" i="19"/>
  <c r="E71" i="19" s="1"/>
  <c r="F71" i="19" s="1"/>
  <c r="G71" i="19" s="1"/>
  <c r="H71" i="19" s="1"/>
  <c r="I71" i="19" s="1"/>
  <c r="J71" i="19" s="1"/>
  <c r="K71" i="19" s="1"/>
  <c r="L71" i="19" s="1"/>
  <c r="M71" i="19" s="1"/>
  <c r="M69" i="19"/>
  <c r="L69" i="19"/>
  <c r="K69" i="19"/>
  <c r="J69" i="19"/>
  <c r="I69" i="19"/>
  <c r="H69" i="19"/>
  <c r="G69" i="19"/>
  <c r="F69" i="19"/>
  <c r="E69" i="19"/>
  <c r="D69" i="19"/>
  <c r="C69" i="19"/>
  <c r="B69" i="19"/>
  <c r="M66" i="19"/>
  <c r="L66" i="19"/>
  <c r="K66" i="19"/>
  <c r="J66" i="19"/>
  <c r="I66" i="19"/>
  <c r="H66" i="19"/>
  <c r="G66" i="19"/>
  <c r="F66" i="19"/>
  <c r="E66" i="19"/>
  <c r="D66" i="19"/>
  <c r="C66" i="19"/>
  <c r="B66" i="19"/>
  <c r="M63" i="19"/>
  <c r="L63" i="19"/>
  <c r="K63" i="19"/>
  <c r="J63" i="19"/>
  <c r="I63" i="19"/>
  <c r="H63" i="19"/>
  <c r="G63" i="19"/>
  <c r="F63" i="19"/>
  <c r="E63" i="19"/>
  <c r="D63" i="19"/>
  <c r="C63" i="19"/>
  <c r="B63" i="19"/>
  <c r="M58" i="19"/>
  <c r="M60" i="19" s="1"/>
  <c r="L58" i="19"/>
  <c r="L60" i="19" s="1"/>
  <c r="K58" i="19"/>
  <c r="K60" i="19" s="1"/>
  <c r="J58" i="19"/>
  <c r="J60" i="19" s="1"/>
  <c r="I58" i="19"/>
  <c r="I60" i="19" s="1"/>
  <c r="H58" i="19"/>
  <c r="H60" i="19" s="1"/>
  <c r="G58" i="19"/>
  <c r="G60" i="19" s="1"/>
  <c r="F58" i="19"/>
  <c r="F60" i="19" s="1"/>
  <c r="E58" i="19"/>
  <c r="E60" i="19" s="1"/>
  <c r="D58" i="19"/>
  <c r="D60" i="19" s="1"/>
  <c r="C58" i="19"/>
  <c r="C60" i="19" s="1"/>
  <c r="B57" i="19"/>
  <c r="B56" i="19"/>
  <c r="M55" i="19"/>
  <c r="L55" i="19"/>
  <c r="K55" i="19"/>
  <c r="J55" i="19"/>
  <c r="I55" i="19"/>
  <c r="H55" i="19"/>
  <c r="G55" i="19"/>
  <c r="F55" i="19"/>
  <c r="E55" i="19"/>
  <c r="D55" i="19"/>
  <c r="C55" i="19"/>
  <c r="B55" i="19"/>
  <c r="M52" i="19"/>
  <c r="L52" i="19"/>
  <c r="K52" i="19"/>
  <c r="J52" i="19"/>
  <c r="I52" i="19"/>
  <c r="H52" i="19"/>
  <c r="G52" i="19"/>
  <c r="F52" i="19"/>
  <c r="E52" i="19"/>
  <c r="D52" i="19"/>
  <c r="C52" i="19"/>
  <c r="B52" i="19"/>
  <c r="M49" i="19"/>
  <c r="L49" i="19"/>
  <c r="K49" i="19"/>
  <c r="J49" i="19"/>
  <c r="I49" i="19"/>
  <c r="H49" i="19"/>
  <c r="G49" i="19"/>
  <c r="F49" i="19"/>
  <c r="E49" i="19"/>
  <c r="D49" i="19"/>
  <c r="C49" i="19"/>
  <c r="B49" i="19"/>
  <c r="D46" i="19"/>
  <c r="E46" i="19" s="1"/>
  <c r="F46" i="19" s="1"/>
  <c r="G46" i="19" s="1"/>
  <c r="H46" i="19" s="1"/>
  <c r="I46" i="19" s="1"/>
  <c r="J46" i="19" s="1"/>
  <c r="K46" i="19" s="1"/>
  <c r="L46" i="19" s="1"/>
  <c r="M46" i="19" s="1"/>
  <c r="M44" i="19"/>
  <c r="L44" i="19"/>
  <c r="K44" i="19"/>
  <c r="J44" i="19"/>
  <c r="I44" i="19"/>
  <c r="H44" i="19"/>
  <c r="G44" i="19"/>
  <c r="F44" i="19"/>
  <c r="E44" i="19"/>
  <c r="D44" i="19"/>
  <c r="C44" i="19"/>
  <c r="B40" i="19"/>
  <c r="B44" i="19" s="1"/>
  <c r="M37" i="19"/>
  <c r="M39" i="19" s="1"/>
  <c r="L37" i="19"/>
  <c r="L39" i="19" s="1"/>
  <c r="K37" i="19"/>
  <c r="K39" i="19" s="1"/>
  <c r="J37" i="19"/>
  <c r="J39" i="19" s="1"/>
  <c r="I37" i="19"/>
  <c r="I39" i="19" s="1"/>
  <c r="H37" i="19"/>
  <c r="H39" i="19" s="1"/>
  <c r="G37" i="19"/>
  <c r="G39" i="19" s="1"/>
  <c r="F37" i="19"/>
  <c r="F39" i="19" s="1"/>
  <c r="E37" i="19"/>
  <c r="E39" i="19" s="1"/>
  <c r="D37" i="19"/>
  <c r="D39" i="19" s="1"/>
  <c r="C37" i="19"/>
  <c r="C39" i="19" s="1"/>
  <c r="B33" i="19"/>
  <c r="B37" i="19" s="1"/>
  <c r="B39" i="19" s="1"/>
  <c r="M32" i="19"/>
  <c r="L32" i="19"/>
  <c r="K32" i="19"/>
  <c r="J32" i="19"/>
  <c r="I32" i="19"/>
  <c r="H32" i="19"/>
  <c r="G32" i="19"/>
  <c r="F32" i="19"/>
  <c r="E32" i="19"/>
  <c r="D32" i="19"/>
  <c r="C32" i="19"/>
  <c r="B32" i="19"/>
  <c r="M29" i="19"/>
  <c r="L29" i="19"/>
  <c r="K29" i="19"/>
  <c r="J29" i="19"/>
  <c r="I29" i="19"/>
  <c r="H29" i="19"/>
  <c r="G29" i="19"/>
  <c r="F29" i="19"/>
  <c r="E29" i="19"/>
  <c r="D29" i="19"/>
  <c r="C29" i="19"/>
  <c r="B29" i="19"/>
  <c r="D26" i="19"/>
  <c r="E26" i="19" s="1"/>
  <c r="F26" i="19" s="1"/>
  <c r="G26" i="19" s="1"/>
  <c r="H26" i="19" s="1"/>
  <c r="I26" i="19" s="1"/>
  <c r="J26" i="19" s="1"/>
  <c r="K26" i="19" s="1"/>
  <c r="L26" i="19" s="1"/>
  <c r="M26" i="19" s="1"/>
  <c r="M24" i="19"/>
  <c r="L24" i="19"/>
  <c r="K24" i="19"/>
  <c r="J24" i="19"/>
  <c r="I24" i="19"/>
  <c r="H24" i="19"/>
  <c r="F24" i="19"/>
  <c r="E24" i="19"/>
  <c r="D24" i="19"/>
  <c r="C24" i="19"/>
  <c r="B24" i="19"/>
  <c r="M19" i="19"/>
  <c r="M21" i="19" s="1"/>
  <c r="L19" i="19"/>
  <c r="L21" i="19" s="1"/>
  <c r="K19" i="19"/>
  <c r="K21" i="19" s="1"/>
  <c r="J19" i="19"/>
  <c r="J21" i="19" s="1"/>
  <c r="I19" i="19"/>
  <c r="I21" i="19" s="1"/>
  <c r="H19" i="19"/>
  <c r="H21" i="19" s="1"/>
  <c r="G19" i="19"/>
  <c r="G21" i="19" s="1"/>
  <c r="F19" i="19"/>
  <c r="F21" i="19" s="1"/>
  <c r="E19" i="19"/>
  <c r="E21" i="19" s="1"/>
  <c r="D19" i="19"/>
  <c r="D21" i="19" s="1"/>
  <c r="C19" i="19"/>
  <c r="C21" i="19" s="1"/>
  <c r="B18" i="19"/>
  <c r="M16" i="19"/>
  <c r="L16" i="19"/>
  <c r="K16" i="19"/>
  <c r="J16" i="19"/>
  <c r="I16" i="19"/>
  <c r="H16" i="19"/>
  <c r="G16" i="19"/>
  <c r="F16" i="19"/>
  <c r="E16" i="19"/>
  <c r="D16" i="19"/>
  <c r="C16" i="19"/>
  <c r="B16" i="19"/>
  <c r="D13" i="19"/>
  <c r="E13" i="19" s="1"/>
  <c r="F13" i="19" s="1"/>
  <c r="G13" i="19" s="1"/>
  <c r="H13" i="19" s="1"/>
  <c r="I13" i="19" s="1"/>
  <c r="J13" i="19" s="1"/>
  <c r="K13" i="19" s="1"/>
  <c r="L13" i="19" s="1"/>
  <c r="M13" i="19" s="1"/>
  <c r="M11" i="19"/>
  <c r="L11" i="19"/>
  <c r="K11" i="19"/>
  <c r="J11" i="19"/>
  <c r="I11" i="19"/>
  <c r="H11" i="19"/>
  <c r="G11" i="19"/>
  <c r="F11" i="19"/>
  <c r="E11" i="19"/>
  <c r="D11" i="19"/>
  <c r="C11" i="19"/>
  <c r="B11" i="19"/>
  <c r="M8" i="19"/>
  <c r="L8" i="19"/>
  <c r="K8" i="19"/>
  <c r="J8" i="19"/>
  <c r="I8" i="19"/>
  <c r="H8" i="19"/>
  <c r="G8" i="19"/>
  <c r="F8" i="19"/>
  <c r="E8" i="19"/>
  <c r="D8" i="19"/>
  <c r="C8" i="19"/>
  <c r="B8" i="19"/>
  <c r="M4" i="19"/>
  <c r="L4" i="19"/>
  <c r="K4" i="19"/>
  <c r="J4" i="19"/>
  <c r="I4" i="19"/>
  <c r="H4" i="19"/>
  <c r="G4" i="19"/>
  <c r="F4" i="19"/>
  <c r="E4" i="19"/>
  <c r="D4" i="19"/>
  <c r="C4" i="19"/>
  <c r="B4" i="19"/>
  <c r="D1" i="19"/>
  <c r="E1" i="19" s="1"/>
  <c r="F1" i="19" s="1"/>
  <c r="G1" i="19" s="1"/>
  <c r="H1" i="19" s="1"/>
  <c r="I1" i="19" s="1"/>
  <c r="J1" i="19" s="1"/>
  <c r="K1" i="19" s="1"/>
  <c r="L1" i="19" s="1"/>
  <c r="M1" i="19" s="1"/>
  <c r="B58" i="19" l="1"/>
  <c r="B60" i="19" s="1"/>
  <c r="B19" i="19"/>
  <c r="B110" i="19"/>
  <c r="B108" i="19"/>
  <c r="B107" i="19"/>
  <c r="C107" i="19"/>
  <c r="G107" i="19"/>
  <c r="K107" i="19"/>
  <c r="C108" i="19"/>
  <c r="G108" i="19"/>
  <c r="K108" i="19"/>
  <c r="D107" i="19"/>
  <c r="H107" i="19"/>
  <c r="L107" i="19"/>
  <c r="D108" i="19"/>
  <c r="H108" i="19"/>
  <c r="L108" i="19"/>
  <c r="E107" i="19"/>
  <c r="I107" i="19"/>
  <c r="M107" i="19"/>
  <c r="E108" i="19"/>
  <c r="I108" i="19"/>
  <c r="M108" i="19"/>
  <c r="F107" i="19"/>
  <c r="J107" i="19"/>
  <c r="F108" i="19"/>
  <c r="J108" i="19"/>
  <c r="C4" i="10"/>
  <c r="E4" i="10"/>
  <c r="D4" i="10"/>
  <c r="F4" i="10"/>
  <c r="F43" i="18"/>
  <c r="F44" i="18" s="1"/>
  <c r="E43" i="18"/>
  <c r="E44" i="18" s="1"/>
  <c r="D43" i="18"/>
  <c r="C43" i="18"/>
  <c r="C44" i="18" s="1"/>
  <c r="B43" i="18"/>
  <c r="D40" i="18"/>
  <c r="C40" i="18"/>
  <c r="B40" i="18"/>
  <c r="F36" i="18"/>
  <c r="F37" i="18" s="1"/>
  <c r="E36" i="18"/>
  <c r="E37" i="18" s="1"/>
  <c r="D36" i="18"/>
  <c r="C36" i="18"/>
  <c r="C46" i="18" s="1"/>
  <c r="B36" i="18"/>
  <c r="B37" i="18" s="1"/>
  <c r="F29" i="18"/>
  <c r="E29" i="18"/>
  <c r="D29" i="18"/>
  <c r="C29" i="18"/>
  <c r="B29" i="18"/>
  <c r="B30" i="18" s="1"/>
  <c r="F26" i="18"/>
  <c r="E26" i="18"/>
  <c r="D26" i="18"/>
  <c r="C26" i="18"/>
  <c r="B26" i="18"/>
  <c r="F22" i="18"/>
  <c r="E22" i="18"/>
  <c r="D22" i="18"/>
  <c r="C22" i="18"/>
  <c r="B22" i="18"/>
  <c r="F19" i="18"/>
  <c r="E19" i="18"/>
  <c r="D19" i="18"/>
  <c r="C19" i="18"/>
  <c r="B19" i="18"/>
  <c r="F16" i="18"/>
  <c r="E16" i="18"/>
  <c r="D16" i="18"/>
  <c r="C16" i="18"/>
  <c r="B16" i="18"/>
  <c r="F10" i="18"/>
  <c r="E10" i="18"/>
  <c r="D10" i="18"/>
  <c r="C10" i="18"/>
  <c r="B10" i="18"/>
  <c r="F5" i="18"/>
  <c r="E5" i="18"/>
  <c r="D5" i="18"/>
  <c r="C5" i="18"/>
  <c r="B5" i="18"/>
  <c r="B1" i="18"/>
  <c r="C1" i="18" s="1"/>
  <c r="D1" i="18" s="1"/>
  <c r="E1" i="18" s="1"/>
  <c r="F1" i="18" s="1"/>
  <c r="C19" i="11"/>
  <c r="H1" i="17"/>
  <c r="I1" i="17" s="1"/>
  <c r="G3" i="17"/>
  <c r="H3" i="17"/>
  <c r="I3" i="17"/>
  <c r="G4" i="17"/>
  <c r="H4" i="17"/>
  <c r="I4" i="17"/>
  <c r="G5" i="17"/>
  <c r="H5" i="17"/>
  <c r="I5" i="17"/>
  <c r="G6" i="17"/>
  <c r="H6" i="17"/>
  <c r="I6" i="17"/>
  <c r="G7" i="17"/>
  <c r="H7" i="17"/>
  <c r="I7" i="17"/>
  <c r="G8" i="17"/>
  <c r="H8" i="17"/>
  <c r="I8" i="17"/>
  <c r="G10" i="17"/>
  <c r="H10" i="17"/>
  <c r="I10" i="17"/>
  <c r="G11" i="17"/>
  <c r="H11" i="17"/>
  <c r="I11" i="17"/>
  <c r="G12" i="17"/>
  <c r="H12" i="17"/>
  <c r="I12" i="17"/>
  <c r="G13" i="17"/>
  <c r="H13" i="17"/>
  <c r="I13" i="17"/>
  <c r="G14" i="17"/>
  <c r="H14" i="17"/>
  <c r="I14" i="17"/>
  <c r="G15" i="17"/>
  <c r="H15" i="17"/>
  <c r="I15" i="17"/>
  <c r="G16" i="17"/>
  <c r="H16" i="17"/>
  <c r="I16" i="17"/>
  <c r="G17" i="17"/>
  <c r="H17" i="17"/>
  <c r="I17" i="17"/>
  <c r="G18" i="17"/>
  <c r="H18" i="17"/>
  <c r="I18" i="17"/>
  <c r="G19" i="17"/>
  <c r="H19" i="17"/>
  <c r="I19" i="17"/>
  <c r="G20" i="17"/>
  <c r="H20" i="17"/>
  <c r="I20" i="17"/>
  <c r="G21" i="17"/>
  <c r="H21" i="17"/>
  <c r="I21" i="17"/>
  <c r="G22" i="17"/>
  <c r="H22" i="17"/>
  <c r="I22" i="17"/>
  <c r="G23" i="17"/>
  <c r="H23" i="17"/>
  <c r="I23" i="17"/>
  <c r="G24" i="17"/>
  <c r="H24" i="17"/>
  <c r="I24" i="17"/>
  <c r="G26" i="17"/>
  <c r="H26" i="17"/>
  <c r="I26" i="17"/>
  <c r="I2" i="17"/>
  <c r="H2" i="17"/>
  <c r="G2" i="17"/>
  <c r="D25" i="17"/>
  <c r="I25" i="17" s="1"/>
  <c r="C25" i="17"/>
  <c r="H25" i="17" s="1"/>
  <c r="B25" i="17"/>
  <c r="G25" i="17" s="1"/>
  <c r="D9" i="17"/>
  <c r="I9" i="17" s="1"/>
  <c r="C9" i="17"/>
  <c r="H9" i="17" s="1"/>
  <c r="B9" i="17"/>
  <c r="G9" i="17" s="1"/>
  <c r="C1" i="17"/>
  <c r="D1" i="17" s="1"/>
  <c r="H1" i="16"/>
  <c r="I1" i="16" s="1"/>
  <c r="I3" i="16"/>
  <c r="I4" i="16"/>
  <c r="I5" i="16"/>
  <c r="I6" i="16"/>
  <c r="I8" i="16"/>
  <c r="I10" i="16"/>
  <c r="I11" i="16"/>
  <c r="I12" i="16"/>
  <c r="I13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2" i="16"/>
  <c r="H3" i="16"/>
  <c r="H4" i="16"/>
  <c r="H5" i="16"/>
  <c r="H6" i="16"/>
  <c r="H8" i="16"/>
  <c r="H10" i="16"/>
  <c r="H11" i="16"/>
  <c r="H12" i="16"/>
  <c r="H13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2" i="16"/>
  <c r="G2" i="16"/>
  <c r="G3" i="16"/>
  <c r="G4" i="16"/>
  <c r="G5" i="16"/>
  <c r="G6" i="16"/>
  <c r="G8" i="16"/>
  <c r="G10" i="16"/>
  <c r="G11" i="16"/>
  <c r="G12" i="16"/>
  <c r="G13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D14" i="16"/>
  <c r="I14" i="16" s="1"/>
  <c r="C14" i="16"/>
  <c r="H14" i="16" s="1"/>
  <c r="B14" i="16"/>
  <c r="G14" i="16" s="1"/>
  <c r="D7" i="16"/>
  <c r="I7" i="16" s="1"/>
  <c r="C7" i="16"/>
  <c r="C9" i="16" s="1"/>
  <c r="H9" i="16" s="1"/>
  <c r="B7" i="16"/>
  <c r="B9" i="16" s="1"/>
  <c r="G9" i="16" s="1"/>
  <c r="C1" i="16"/>
  <c r="D1" i="16" s="1"/>
  <c r="C113" i="11"/>
  <c r="D113" i="11"/>
  <c r="E113" i="11"/>
  <c r="F113" i="11"/>
  <c r="G113" i="11"/>
  <c r="H113" i="11"/>
  <c r="I113" i="11"/>
  <c r="J113" i="11"/>
  <c r="K113" i="11"/>
  <c r="L113" i="11"/>
  <c r="M113" i="11"/>
  <c r="B112" i="11"/>
  <c r="B113" i="11" s="1"/>
  <c r="C106" i="11"/>
  <c r="C108" i="11" s="1"/>
  <c r="D106" i="11"/>
  <c r="D108" i="11" s="1"/>
  <c r="E106" i="11"/>
  <c r="E108" i="11" s="1"/>
  <c r="F106" i="11"/>
  <c r="F108" i="11" s="1"/>
  <c r="G106" i="11"/>
  <c r="G108" i="11" s="1"/>
  <c r="H106" i="11"/>
  <c r="H108" i="11" s="1"/>
  <c r="I106" i="11"/>
  <c r="I108" i="11" s="1"/>
  <c r="J106" i="11"/>
  <c r="J108" i="11" s="1"/>
  <c r="K106" i="11"/>
  <c r="K107" i="11" s="1"/>
  <c r="L106" i="11"/>
  <c r="L107" i="11" s="1"/>
  <c r="M106" i="11"/>
  <c r="M107" i="11" s="1"/>
  <c r="B101" i="11"/>
  <c r="B106" i="11" s="1"/>
  <c r="D99" i="11"/>
  <c r="E99" i="11"/>
  <c r="F99" i="11"/>
  <c r="G99" i="11"/>
  <c r="H99" i="11"/>
  <c r="I99" i="11"/>
  <c r="J99" i="11"/>
  <c r="K99" i="11"/>
  <c r="L99" i="11"/>
  <c r="M99" i="11"/>
  <c r="C99" i="11"/>
  <c r="D96" i="11"/>
  <c r="E96" i="11"/>
  <c r="F96" i="11"/>
  <c r="G96" i="11"/>
  <c r="H96" i="11"/>
  <c r="I96" i="11"/>
  <c r="J96" i="11"/>
  <c r="K96" i="11"/>
  <c r="L96" i="11"/>
  <c r="M96" i="11"/>
  <c r="C96" i="11"/>
  <c r="B110" i="11" l="1"/>
  <c r="L110" i="11"/>
  <c r="H110" i="11"/>
  <c r="D110" i="11"/>
  <c r="D9" i="16"/>
  <c r="I9" i="16" s="1"/>
  <c r="G7" i="16"/>
  <c r="M108" i="11"/>
  <c r="K110" i="11"/>
  <c r="G110" i="11"/>
  <c r="C110" i="11"/>
  <c r="J110" i="11"/>
  <c r="F110" i="11"/>
  <c r="M110" i="11"/>
  <c r="I110" i="11"/>
  <c r="E110" i="11"/>
  <c r="H7" i="16"/>
  <c r="F12" i="18"/>
  <c r="F13" i="18" s="1"/>
  <c r="E12" i="18"/>
  <c r="E13" i="18" s="1"/>
  <c r="E23" i="18"/>
  <c r="E32" i="18" s="1"/>
  <c r="B12" i="18"/>
  <c r="B13" i="18" s="1"/>
  <c r="C12" i="18"/>
  <c r="C13" i="18" s="1"/>
  <c r="C23" i="18"/>
  <c r="C32" i="18" s="1"/>
  <c r="D23" i="18"/>
  <c r="D32" i="18" s="1"/>
  <c r="C37" i="18"/>
  <c r="D46" i="18"/>
  <c r="B44" i="18"/>
  <c r="D12" i="18"/>
  <c r="D13" i="18" s="1"/>
  <c r="B23" i="18"/>
  <c r="B32" i="18" s="1"/>
  <c r="F23" i="18"/>
  <c r="D44" i="18"/>
  <c r="E46" i="18"/>
  <c r="F32" i="18"/>
  <c r="D37" i="18"/>
  <c r="B46" i="18"/>
  <c r="F46" i="18"/>
  <c r="F107" i="11"/>
  <c r="I107" i="11"/>
  <c r="E107" i="11"/>
  <c r="L108" i="11"/>
  <c r="H107" i="11"/>
  <c r="D107" i="11"/>
  <c r="K108" i="11"/>
  <c r="J107" i="11"/>
  <c r="G107" i="11"/>
  <c r="C107" i="11"/>
  <c r="D92" i="11"/>
  <c r="E92" i="11" s="1"/>
  <c r="F92" i="11" s="1"/>
  <c r="G92" i="11" s="1"/>
  <c r="H92" i="11" s="1"/>
  <c r="I92" i="11" s="1"/>
  <c r="J92" i="11" s="1"/>
  <c r="K92" i="11" s="1"/>
  <c r="L92" i="11" s="1"/>
  <c r="M92" i="11" s="1"/>
  <c r="B85" i="11"/>
  <c r="B84" i="11"/>
  <c r="B80" i="11"/>
  <c r="B79" i="11"/>
  <c r="C84" i="11"/>
  <c r="C86" i="11" s="1"/>
  <c r="C90" i="11"/>
  <c r="B74" i="11"/>
  <c r="B76" i="11" s="1"/>
  <c r="B87" i="11" s="1"/>
  <c r="B52" i="11"/>
  <c r="B49" i="11"/>
  <c r="B69" i="11"/>
  <c r="C69" i="11"/>
  <c r="B66" i="11"/>
  <c r="B63" i="11"/>
  <c r="B57" i="11"/>
  <c r="B56" i="11"/>
  <c r="B55" i="11"/>
  <c r="B40" i="11"/>
  <c r="B44" i="11" s="1"/>
  <c r="C37" i="11"/>
  <c r="C39" i="11" s="1"/>
  <c r="D37" i="11"/>
  <c r="E37" i="11"/>
  <c r="F37" i="11"/>
  <c r="G37" i="11"/>
  <c r="H37" i="11"/>
  <c r="I37" i="11"/>
  <c r="J37" i="11"/>
  <c r="K37" i="11"/>
  <c r="L37" i="11"/>
  <c r="M37" i="11"/>
  <c r="B33" i="11"/>
  <c r="B37" i="11" s="1"/>
  <c r="B39" i="11" s="1"/>
  <c r="B32" i="11"/>
  <c r="B29" i="11"/>
  <c r="B24" i="11"/>
  <c r="B16" i="11"/>
  <c r="C21" i="11"/>
  <c r="C24" i="11"/>
  <c r="B18" i="11"/>
  <c r="B19" i="11" s="1"/>
  <c r="B100" i="11" s="1"/>
  <c r="B108" i="11" s="1"/>
  <c r="B107" i="11" l="1"/>
  <c r="E48" i="18"/>
  <c r="E50" i="18" s="1"/>
  <c r="B21" i="11"/>
  <c r="C48" i="18"/>
  <c r="C50" i="18" s="1"/>
  <c r="D48" i="18"/>
  <c r="D50" i="18" s="1"/>
  <c r="F48" i="18"/>
  <c r="F50" i="18" s="1"/>
  <c r="B48" i="18"/>
  <c r="B50" i="18" s="1"/>
  <c r="B86" i="11"/>
  <c r="B89" i="11" s="1"/>
  <c r="B81" i="11"/>
  <c r="B88" i="11" s="1"/>
  <c r="B90" i="11" s="1"/>
  <c r="B58" i="11"/>
  <c r="B60" i="11" s="1"/>
  <c r="B11" i="11" l="1"/>
  <c r="B8" i="11"/>
  <c r="B4" i="11"/>
  <c r="C8" i="11"/>
  <c r="C11" i="11"/>
  <c r="D90" i="11" l="1"/>
  <c r="E90" i="11"/>
  <c r="F90" i="11"/>
  <c r="G90" i="11"/>
  <c r="H90" i="11"/>
  <c r="I90" i="11"/>
  <c r="J90" i="11"/>
  <c r="K90" i="11"/>
  <c r="L90" i="11"/>
  <c r="M90" i="11"/>
  <c r="D84" i="11"/>
  <c r="D86" i="11" s="1"/>
  <c r="E84" i="11"/>
  <c r="E86" i="11" s="1"/>
  <c r="F84" i="11"/>
  <c r="F86" i="11" s="1"/>
  <c r="G84" i="11"/>
  <c r="G86" i="11" s="1"/>
  <c r="H84" i="11"/>
  <c r="H86" i="11" s="1"/>
  <c r="I84" i="11"/>
  <c r="I86" i="11" s="1"/>
  <c r="J84" i="11"/>
  <c r="J86" i="11" s="1"/>
  <c r="K84" i="11"/>
  <c r="K86" i="11" s="1"/>
  <c r="L84" i="11"/>
  <c r="L86" i="11" s="1"/>
  <c r="M84" i="11"/>
  <c r="M86" i="11" s="1"/>
  <c r="D79" i="11"/>
  <c r="D81" i="11" s="1"/>
  <c r="E79" i="11"/>
  <c r="E81" i="11" s="1"/>
  <c r="F79" i="11"/>
  <c r="F81" i="11" s="1"/>
  <c r="G79" i="11"/>
  <c r="G81" i="11" s="1"/>
  <c r="H79" i="11"/>
  <c r="H81" i="11" s="1"/>
  <c r="I79" i="11"/>
  <c r="I81" i="11" s="1"/>
  <c r="J79" i="11"/>
  <c r="J81" i="11" s="1"/>
  <c r="K79" i="11"/>
  <c r="K81" i="11" s="1"/>
  <c r="L79" i="11"/>
  <c r="L81" i="11" s="1"/>
  <c r="M79" i="11"/>
  <c r="M81" i="11" s="1"/>
  <c r="C79" i="11"/>
  <c r="C81" i="11" s="1"/>
  <c r="D74" i="11"/>
  <c r="D76" i="11" s="1"/>
  <c r="E74" i="11"/>
  <c r="E76" i="11" s="1"/>
  <c r="F74" i="11"/>
  <c r="F76" i="11" s="1"/>
  <c r="G74" i="11"/>
  <c r="G76" i="11" s="1"/>
  <c r="H74" i="11"/>
  <c r="H76" i="11" s="1"/>
  <c r="I74" i="11"/>
  <c r="I76" i="11" s="1"/>
  <c r="J74" i="11"/>
  <c r="J76" i="11" s="1"/>
  <c r="K74" i="11"/>
  <c r="K76" i="11" s="1"/>
  <c r="L74" i="11"/>
  <c r="L76" i="11" s="1"/>
  <c r="M74" i="11"/>
  <c r="M76" i="11" s="1"/>
  <c r="C74" i="11"/>
  <c r="C76" i="11" s="1"/>
  <c r="D71" i="11" l="1"/>
  <c r="E71" i="11" s="1"/>
  <c r="F71" i="11" s="1"/>
  <c r="G71" i="11" s="1"/>
  <c r="H71" i="11" s="1"/>
  <c r="I71" i="11" s="1"/>
  <c r="J71" i="11" s="1"/>
  <c r="K71" i="11" s="1"/>
  <c r="L71" i="11" s="1"/>
  <c r="M71" i="11" s="1"/>
  <c r="M69" i="11"/>
  <c r="L69" i="11"/>
  <c r="K69" i="11"/>
  <c r="J69" i="11"/>
  <c r="I69" i="11"/>
  <c r="H69" i="11"/>
  <c r="G69" i="11"/>
  <c r="F69" i="11"/>
  <c r="E69" i="11"/>
  <c r="D69" i="11"/>
  <c r="M66" i="11"/>
  <c r="L66" i="11"/>
  <c r="K66" i="11"/>
  <c r="J66" i="11"/>
  <c r="I66" i="11"/>
  <c r="H66" i="11"/>
  <c r="G66" i="11"/>
  <c r="F66" i="11"/>
  <c r="E66" i="11"/>
  <c r="D66" i="11"/>
  <c r="C66" i="11"/>
  <c r="D58" i="11"/>
  <c r="D60" i="11" s="1"/>
  <c r="E58" i="11"/>
  <c r="E60" i="11" s="1"/>
  <c r="F58" i="11"/>
  <c r="F60" i="11" s="1"/>
  <c r="G58" i="11"/>
  <c r="G60" i="11" s="1"/>
  <c r="H58" i="11"/>
  <c r="H60" i="11" s="1"/>
  <c r="I58" i="11"/>
  <c r="I60" i="11" s="1"/>
  <c r="J58" i="11"/>
  <c r="J60" i="11" s="1"/>
  <c r="K58" i="11"/>
  <c r="K60" i="11" s="1"/>
  <c r="L58" i="11"/>
  <c r="L60" i="11" s="1"/>
  <c r="M58" i="11"/>
  <c r="M60" i="11" s="1"/>
  <c r="C58" i="11"/>
  <c r="C60" i="11" s="1"/>
  <c r="M63" i="11"/>
  <c r="L63" i="11"/>
  <c r="K63" i="11"/>
  <c r="J63" i="11"/>
  <c r="I63" i="11"/>
  <c r="H63" i="11"/>
  <c r="G63" i="11"/>
  <c r="F63" i="11"/>
  <c r="E63" i="11"/>
  <c r="D63" i="11"/>
  <c r="C63" i="11"/>
  <c r="C55" i="11"/>
  <c r="M55" i="11"/>
  <c r="L55" i="11"/>
  <c r="K55" i="11"/>
  <c r="J55" i="11"/>
  <c r="I55" i="11"/>
  <c r="H55" i="11"/>
  <c r="G55" i="11"/>
  <c r="F55" i="11"/>
  <c r="E55" i="11"/>
  <c r="D55" i="11"/>
  <c r="C49" i="11"/>
  <c r="M52" i="11"/>
  <c r="L52" i="11"/>
  <c r="K52" i="11"/>
  <c r="J52" i="11"/>
  <c r="I52" i="11"/>
  <c r="H52" i="11"/>
  <c r="G52" i="11"/>
  <c r="F52" i="11"/>
  <c r="E52" i="11"/>
  <c r="D52" i="11"/>
  <c r="C52" i="11"/>
  <c r="M49" i="11"/>
  <c r="L49" i="11"/>
  <c r="K49" i="11"/>
  <c r="J49" i="11"/>
  <c r="I49" i="11"/>
  <c r="H49" i="11"/>
  <c r="G49" i="11"/>
  <c r="F49" i="11"/>
  <c r="E49" i="11"/>
  <c r="D49" i="11"/>
  <c r="D46" i="11"/>
  <c r="E46" i="11" s="1"/>
  <c r="F46" i="11" s="1"/>
  <c r="G46" i="11" s="1"/>
  <c r="H46" i="11" s="1"/>
  <c r="I46" i="11" s="1"/>
  <c r="J46" i="11" s="1"/>
  <c r="K46" i="11" s="1"/>
  <c r="L46" i="11" s="1"/>
  <c r="M46" i="11" s="1"/>
  <c r="D44" i="11"/>
  <c r="E44" i="11"/>
  <c r="F44" i="11"/>
  <c r="G44" i="11"/>
  <c r="H44" i="11"/>
  <c r="I44" i="11"/>
  <c r="J44" i="11"/>
  <c r="K44" i="11"/>
  <c r="L44" i="11"/>
  <c r="M44" i="11"/>
  <c r="C44" i="11"/>
  <c r="D39" i="11"/>
  <c r="E39" i="11"/>
  <c r="F39" i="11"/>
  <c r="G39" i="11"/>
  <c r="H39" i="11"/>
  <c r="I39" i="11"/>
  <c r="J39" i="11"/>
  <c r="K39" i="11"/>
  <c r="L39" i="11"/>
  <c r="M39" i="11"/>
  <c r="D32" i="11"/>
  <c r="E32" i="11"/>
  <c r="F32" i="11"/>
  <c r="G32" i="11"/>
  <c r="H32" i="11"/>
  <c r="I32" i="11"/>
  <c r="J32" i="11"/>
  <c r="K32" i="11"/>
  <c r="L32" i="11"/>
  <c r="M32" i="11"/>
  <c r="C32" i="11"/>
  <c r="D29" i="11"/>
  <c r="E29" i="11"/>
  <c r="F29" i="11"/>
  <c r="G29" i="11"/>
  <c r="H29" i="11"/>
  <c r="I29" i="11"/>
  <c r="J29" i="11"/>
  <c r="K29" i="11"/>
  <c r="L29" i="11"/>
  <c r="M29" i="11"/>
  <c r="C29" i="11"/>
  <c r="D26" i="11"/>
  <c r="E26" i="11" s="1"/>
  <c r="F26" i="11" s="1"/>
  <c r="G26" i="11" s="1"/>
  <c r="H26" i="11" s="1"/>
  <c r="I26" i="11" s="1"/>
  <c r="J26" i="11" s="1"/>
  <c r="K26" i="11" s="1"/>
  <c r="L26" i="11" s="1"/>
  <c r="M26" i="11" s="1"/>
  <c r="D24" i="11"/>
  <c r="E24" i="11"/>
  <c r="F24" i="11"/>
  <c r="G24" i="11"/>
  <c r="H24" i="11"/>
  <c r="I24" i="11"/>
  <c r="J24" i="11"/>
  <c r="K24" i="11"/>
  <c r="L24" i="11"/>
  <c r="M24" i="11"/>
  <c r="D19" i="11"/>
  <c r="D21" i="11" s="1"/>
  <c r="E19" i="11"/>
  <c r="E21" i="11" s="1"/>
  <c r="F19" i="11"/>
  <c r="F21" i="11" s="1"/>
  <c r="G19" i="11"/>
  <c r="G21" i="11" s="1"/>
  <c r="H19" i="11"/>
  <c r="H21" i="11" s="1"/>
  <c r="I19" i="11"/>
  <c r="I21" i="11" s="1"/>
  <c r="J19" i="11"/>
  <c r="J21" i="11" s="1"/>
  <c r="K19" i="11"/>
  <c r="K21" i="11" s="1"/>
  <c r="L19" i="11"/>
  <c r="L21" i="11" s="1"/>
  <c r="M19" i="11"/>
  <c r="M21" i="11" s="1"/>
  <c r="D16" i="11"/>
  <c r="E16" i="11"/>
  <c r="F16" i="11"/>
  <c r="G16" i="11"/>
  <c r="H16" i="11"/>
  <c r="I16" i="11"/>
  <c r="J16" i="11"/>
  <c r="K16" i="11"/>
  <c r="L16" i="11"/>
  <c r="M16" i="11"/>
  <c r="C16" i="11"/>
  <c r="D13" i="11"/>
  <c r="E13" i="11" s="1"/>
  <c r="F13" i="11" s="1"/>
  <c r="G13" i="11" s="1"/>
  <c r="H13" i="11" s="1"/>
  <c r="I13" i="11" s="1"/>
  <c r="J13" i="11" s="1"/>
  <c r="K13" i="11" s="1"/>
  <c r="L13" i="11" s="1"/>
  <c r="M13" i="11" s="1"/>
  <c r="D1" i="11"/>
  <c r="E1" i="11" s="1"/>
  <c r="F1" i="11" s="1"/>
  <c r="G1" i="11" s="1"/>
  <c r="H1" i="11" s="1"/>
  <c r="I1" i="11" s="1"/>
  <c r="J1" i="11" s="1"/>
  <c r="K1" i="11" s="1"/>
  <c r="L1" i="11" s="1"/>
  <c r="M1" i="11" s="1"/>
  <c r="D11" i="11"/>
  <c r="E11" i="11"/>
  <c r="F11" i="11"/>
  <c r="G11" i="11"/>
  <c r="H11" i="11"/>
  <c r="I11" i="11"/>
  <c r="J11" i="11"/>
  <c r="K11" i="11"/>
  <c r="L11" i="11"/>
  <c r="M11" i="11"/>
  <c r="D8" i="11"/>
  <c r="E8" i="11"/>
  <c r="F8" i="11"/>
  <c r="G8" i="11"/>
  <c r="H8" i="11"/>
  <c r="I8" i="11"/>
  <c r="J8" i="11"/>
  <c r="K8" i="11"/>
  <c r="L8" i="11"/>
  <c r="M8" i="11"/>
  <c r="D4" i="11"/>
  <c r="E4" i="11"/>
  <c r="F4" i="11"/>
  <c r="G4" i="11"/>
  <c r="H4" i="11"/>
  <c r="I4" i="11"/>
  <c r="J4" i="11"/>
  <c r="K4" i="11"/>
  <c r="L4" i="11"/>
  <c r="M4" i="11"/>
  <c r="C4" i="11"/>
  <c r="Z47" i="10"/>
  <c r="Y47" i="10"/>
  <c r="X47" i="10"/>
  <c r="W47" i="10"/>
  <c r="V47" i="10"/>
  <c r="U47" i="10"/>
  <c r="T47" i="10"/>
  <c r="S47" i="10"/>
  <c r="R47" i="10"/>
  <c r="Q47" i="10"/>
  <c r="P47" i="10"/>
  <c r="O47" i="10"/>
  <c r="N47" i="10"/>
  <c r="M47" i="10"/>
  <c r="L47" i="10"/>
  <c r="K47" i="10"/>
  <c r="J47" i="10"/>
  <c r="I47" i="10"/>
  <c r="H47" i="10"/>
  <c r="G47" i="10"/>
  <c r="F47" i="10"/>
  <c r="E47" i="10"/>
  <c r="D47" i="10"/>
  <c r="C47" i="10"/>
  <c r="Z42" i="10"/>
  <c r="Y42" i="10"/>
  <c r="X42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Z10" i="10"/>
  <c r="Z21" i="10" s="1"/>
  <c r="Z23" i="10" s="1"/>
  <c r="Y10" i="10"/>
  <c r="Y21" i="10" s="1"/>
  <c r="Y23" i="10" s="1"/>
  <c r="X10" i="10"/>
  <c r="X21" i="10" s="1"/>
  <c r="X23" i="10" s="1"/>
  <c r="W10" i="10"/>
  <c r="W21" i="10" s="1"/>
  <c r="W23" i="10" s="1"/>
  <c r="V10" i="10"/>
  <c r="V21" i="10" s="1"/>
  <c r="V23" i="10" s="1"/>
  <c r="U10" i="10"/>
  <c r="U21" i="10" s="1"/>
  <c r="U23" i="10" s="1"/>
  <c r="T10" i="10"/>
  <c r="T21" i="10" s="1"/>
  <c r="T23" i="10" s="1"/>
  <c r="S10" i="10"/>
  <c r="S21" i="10" s="1"/>
  <c r="S23" i="10" s="1"/>
  <c r="R10" i="10"/>
  <c r="R21" i="10" s="1"/>
  <c r="R23" i="10" s="1"/>
  <c r="Q10" i="10"/>
  <c r="Q21" i="10" s="1"/>
  <c r="Q23" i="10" s="1"/>
  <c r="P10" i="10"/>
  <c r="P21" i="10" s="1"/>
  <c r="P23" i="10" s="1"/>
  <c r="O10" i="10"/>
  <c r="O21" i="10" s="1"/>
  <c r="O23" i="10" s="1"/>
  <c r="N10" i="10"/>
  <c r="N21" i="10" s="1"/>
  <c r="N23" i="10" s="1"/>
  <c r="M10" i="10"/>
  <c r="M21" i="10" s="1"/>
  <c r="M23" i="10" s="1"/>
  <c r="L10" i="10"/>
  <c r="L21" i="10" s="1"/>
  <c r="L23" i="10" s="1"/>
  <c r="K10" i="10"/>
  <c r="K21" i="10" s="1"/>
  <c r="K23" i="10" s="1"/>
  <c r="J10" i="10"/>
  <c r="J21" i="10" s="1"/>
  <c r="J23" i="10" s="1"/>
  <c r="I10" i="10"/>
  <c r="I21" i="10" s="1"/>
  <c r="I23" i="10" s="1"/>
  <c r="H10" i="10"/>
  <c r="H21" i="10" s="1"/>
  <c r="H23" i="10" s="1"/>
  <c r="G10" i="10"/>
  <c r="G21" i="10" s="1"/>
  <c r="G23" i="10" s="1"/>
  <c r="F10" i="10"/>
  <c r="F21" i="10" s="1"/>
  <c r="F23" i="10" s="1"/>
  <c r="E10" i="10"/>
  <c r="E21" i="10" s="1"/>
  <c r="E23" i="10" s="1"/>
  <c r="D10" i="10"/>
  <c r="D21" i="10" s="1"/>
  <c r="D23" i="10" s="1"/>
  <c r="C10" i="10"/>
  <c r="C21" i="10" s="1"/>
  <c r="C23" i="10" s="1"/>
  <c r="C1" i="10"/>
  <c r="D1" i="10" s="1"/>
  <c r="E1" i="10" s="1"/>
  <c r="F1" i="10" s="1"/>
  <c r="G1" i="10" s="1"/>
  <c r="H1" i="10" s="1"/>
  <c r="I1" i="10" s="1"/>
  <c r="J1" i="10" s="1"/>
  <c r="K1" i="10" s="1"/>
  <c r="L1" i="10" s="1"/>
  <c r="M1" i="10" s="1"/>
  <c r="N1" i="10" s="1"/>
  <c r="O1" i="10" s="1"/>
  <c r="P1" i="10" s="1"/>
  <c r="Q1" i="10" s="1"/>
  <c r="R1" i="10" s="1"/>
  <c r="S1" i="10" s="1"/>
  <c r="T1" i="10" s="1"/>
  <c r="U1" i="10" s="1"/>
  <c r="V1" i="10" s="1"/>
  <c r="W1" i="10" s="1"/>
  <c r="X1" i="10" s="1"/>
  <c r="Y1" i="10" s="1"/>
  <c r="Z1" i="10" s="1"/>
  <c r="AB17" i="10" l="1"/>
  <c r="F84" i="10"/>
  <c r="N84" i="10"/>
  <c r="R84" i="10"/>
  <c r="V84" i="10"/>
  <c r="Z84" i="10"/>
  <c r="F36" i="10"/>
  <c r="F53" i="10" s="1"/>
  <c r="V36" i="10"/>
  <c r="V53" i="10" s="1"/>
  <c r="Z36" i="10"/>
  <c r="Z53" i="10" s="1"/>
  <c r="K36" i="10"/>
  <c r="K53" i="10" s="1"/>
  <c r="O36" i="10"/>
  <c r="O53" i="10" s="1"/>
  <c r="J36" i="10"/>
  <c r="J53" i="10" s="1"/>
  <c r="C36" i="10"/>
  <c r="C53" i="10" s="1"/>
  <c r="S36" i="10"/>
  <c r="S53" i="10" s="1"/>
  <c r="D36" i="10"/>
  <c r="D53" i="10" s="1"/>
  <c r="H36" i="10"/>
  <c r="H53" i="10" s="1"/>
  <c r="L36" i="10"/>
  <c r="L53" i="10" s="1"/>
  <c r="P36" i="10"/>
  <c r="P53" i="10" s="1"/>
  <c r="T36" i="10"/>
  <c r="T53" i="10" s="1"/>
  <c r="X36" i="10"/>
  <c r="X53" i="10" s="1"/>
  <c r="D84" i="10"/>
  <c r="H84" i="10"/>
  <c r="L84" i="10"/>
  <c r="P84" i="10"/>
  <c r="T84" i="10"/>
  <c r="X84" i="10"/>
  <c r="G36" i="10"/>
  <c r="G53" i="10" s="1"/>
  <c r="E36" i="10"/>
  <c r="E53" i="10" s="1"/>
  <c r="I36" i="10"/>
  <c r="I53" i="10" s="1"/>
  <c r="M36" i="10"/>
  <c r="M53" i="10" s="1"/>
  <c r="Q36" i="10"/>
  <c r="Q53" i="10" s="1"/>
  <c r="U36" i="10"/>
  <c r="U53" i="10" s="1"/>
  <c r="Y36" i="10"/>
  <c r="Y53" i="10" s="1"/>
  <c r="C84" i="10"/>
  <c r="G84" i="10"/>
  <c r="S84" i="10"/>
  <c r="W36" i="10"/>
  <c r="W53" i="10" s="1"/>
  <c r="N36" i="10"/>
  <c r="N53" i="10" s="1"/>
  <c r="R36" i="10"/>
  <c r="R53" i="10" s="1"/>
  <c r="C49" i="10"/>
  <c r="J84" i="10"/>
  <c r="O84" i="10"/>
  <c r="K84" i="10"/>
  <c r="W84" i="10"/>
  <c r="E84" i="10"/>
  <c r="I84" i="10"/>
  <c r="M84" i="10"/>
  <c r="Q84" i="10"/>
  <c r="U84" i="10"/>
  <c r="Y84" i="10"/>
  <c r="Z88" i="10" l="1"/>
  <c r="Z90" i="10" s="1"/>
  <c r="W88" i="10"/>
  <c r="W92" i="10" s="1"/>
  <c r="F88" i="10"/>
  <c r="F92" i="10" s="1"/>
  <c r="R88" i="10"/>
  <c r="R92" i="10" s="1"/>
  <c r="N88" i="10"/>
  <c r="N92" i="10" s="1"/>
  <c r="D88" i="10"/>
  <c r="D92" i="10" s="1"/>
  <c r="V88" i="10"/>
  <c r="V92" i="10" s="1"/>
  <c r="G88" i="10"/>
  <c r="G92" i="10" s="1"/>
  <c r="K88" i="10"/>
  <c r="K92" i="10" s="1"/>
  <c r="T88" i="10"/>
  <c r="T92" i="10" s="1"/>
  <c r="P88" i="10"/>
  <c r="P92" i="10" s="1"/>
  <c r="S88" i="10"/>
  <c r="S92" i="10" s="1"/>
  <c r="O88" i="10"/>
  <c r="O92" i="10" s="1"/>
  <c r="C88" i="10"/>
  <c r="C92" i="10" s="1"/>
  <c r="J88" i="10"/>
  <c r="J92" i="10" s="1"/>
  <c r="X88" i="10"/>
  <c r="X92" i="10" s="1"/>
  <c r="H88" i="10"/>
  <c r="H92" i="10" s="1"/>
  <c r="Q88" i="10"/>
  <c r="Q92" i="10" s="1"/>
  <c r="L88" i="10"/>
  <c r="L92" i="10" s="1"/>
  <c r="U88" i="10"/>
  <c r="U92" i="10" s="1"/>
  <c r="E88" i="10"/>
  <c r="E92" i="10" s="1"/>
  <c r="M88" i="10"/>
  <c r="M92" i="10" s="1"/>
  <c r="Y88" i="10"/>
  <c r="Y92" i="10" s="1"/>
  <c r="I88" i="10"/>
  <c r="I92" i="10" s="1"/>
  <c r="AK102" i="9" l="1"/>
  <c r="AI102" i="9"/>
  <c r="AG102" i="9"/>
  <c r="AE102" i="9"/>
  <c r="AC102" i="9"/>
  <c r="AA102" i="9"/>
  <c r="Y102" i="9"/>
  <c r="W102" i="9"/>
  <c r="U102" i="9"/>
  <c r="S102" i="9"/>
  <c r="Q102" i="9"/>
  <c r="O102" i="9"/>
  <c r="M102" i="9"/>
  <c r="L102" i="9"/>
  <c r="K102" i="9"/>
  <c r="J102" i="9"/>
  <c r="I102" i="9"/>
  <c r="H102" i="9"/>
  <c r="G102" i="9"/>
  <c r="AK97" i="9"/>
  <c r="AI97" i="9"/>
  <c r="AG97" i="9"/>
  <c r="AE97" i="9"/>
  <c r="AC97" i="9"/>
  <c r="AA97" i="9"/>
  <c r="Y97" i="9"/>
  <c r="W97" i="9"/>
  <c r="U97" i="9"/>
  <c r="S97" i="9"/>
  <c r="Q97" i="9"/>
  <c r="O97" i="9"/>
  <c r="M97" i="9"/>
  <c r="L97" i="9"/>
  <c r="K97" i="9"/>
  <c r="J97" i="9"/>
  <c r="I97" i="9"/>
  <c r="H97" i="9"/>
  <c r="G97" i="9"/>
  <c r="F97" i="9"/>
  <c r="AK91" i="9"/>
  <c r="AI91" i="9"/>
  <c r="AG91" i="9"/>
  <c r="AE91" i="9"/>
  <c r="AC91" i="9"/>
  <c r="AA91" i="9"/>
  <c r="Y91" i="9"/>
  <c r="W91" i="9"/>
  <c r="U91" i="9"/>
  <c r="S91" i="9"/>
  <c r="Q91" i="9"/>
  <c r="O91" i="9"/>
  <c r="M91" i="9"/>
  <c r="L91" i="9"/>
  <c r="K91" i="9"/>
  <c r="J91" i="9"/>
  <c r="I91" i="9"/>
  <c r="H91" i="9"/>
  <c r="G91" i="9"/>
  <c r="F91" i="9"/>
  <c r="AK81" i="9"/>
  <c r="AI81" i="9"/>
  <c r="AG81" i="9"/>
  <c r="AE81" i="9"/>
  <c r="AC81" i="9"/>
  <c r="AA81" i="9"/>
  <c r="Y81" i="9"/>
  <c r="W81" i="9"/>
  <c r="U81" i="9"/>
  <c r="S81" i="9"/>
  <c r="Q81" i="9"/>
  <c r="O81" i="9"/>
  <c r="M81" i="9"/>
  <c r="L81" i="9"/>
  <c r="K81" i="9"/>
  <c r="J81" i="9"/>
  <c r="I81" i="9"/>
  <c r="H81" i="9"/>
  <c r="G81" i="9"/>
  <c r="F81" i="9"/>
  <c r="AK60" i="9"/>
  <c r="AI60" i="9"/>
  <c r="AG60" i="9"/>
  <c r="AE60" i="9"/>
  <c r="AC60" i="9"/>
  <c r="AA60" i="9"/>
  <c r="Y60" i="9"/>
  <c r="W60" i="9"/>
  <c r="U60" i="9"/>
  <c r="S60" i="9"/>
  <c r="Q60" i="9"/>
  <c r="O60" i="9"/>
  <c r="M60" i="9"/>
  <c r="L60" i="9"/>
  <c r="K60" i="9"/>
  <c r="J60" i="9"/>
  <c r="I60" i="9"/>
  <c r="H60" i="9"/>
  <c r="G60" i="9"/>
  <c r="F60" i="9"/>
  <c r="D53" i="9"/>
  <c r="E53" i="9" s="1"/>
  <c r="F53" i="9" s="1"/>
  <c r="G53" i="9" s="1"/>
  <c r="H53" i="9" s="1"/>
  <c r="I53" i="9" s="1"/>
  <c r="J53" i="9" s="1"/>
  <c r="K53" i="9" s="1"/>
  <c r="L53" i="9" s="1"/>
  <c r="M53" i="9" s="1"/>
  <c r="O53" i="9" s="1"/>
  <c r="Q53" i="9" s="1"/>
  <c r="S53" i="9" s="1"/>
  <c r="U53" i="9" s="1"/>
  <c r="W53" i="9" s="1"/>
  <c r="Y53" i="9" s="1"/>
  <c r="AA53" i="9" s="1"/>
  <c r="AC53" i="9" s="1"/>
  <c r="AE53" i="9" s="1"/>
  <c r="AG53" i="9" s="1"/>
  <c r="AI53" i="9" s="1"/>
  <c r="AK53" i="9" s="1"/>
  <c r="AM49" i="9"/>
  <c r="AM37" i="9"/>
  <c r="AM41" i="9" s="1"/>
  <c r="AK37" i="9"/>
  <c r="AK89" i="9" s="1"/>
  <c r="AI37" i="9"/>
  <c r="AI41" i="9" s="1"/>
  <c r="AG37" i="9"/>
  <c r="AG41" i="9" s="1"/>
  <c r="AE37" i="9"/>
  <c r="AE41" i="9" s="1"/>
  <c r="AC37" i="9"/>
  <c r="AC89" i="9" s="1"/>
  <c r="AA37" i="9"/>
  <c r="AA41" i="9" s="1"/>
  <c r="Y37" i="9"/>
  <c r="Y41" i="9" s="1"/>
  <c r="W37" i="9"/>
  <c r="W41" i="9" s="1"/>
  <c r="U37" i="9"/>
  <c r="U89" i="9" s="1"/>
  <c r="S37" i="9"/>
  <c r="S41" i="9" s="1"/>
  <c r="Q37" i="9"/>
  <c r="Q41" i="9" s="1"/>
  <c r="O37" i="9"/>
  <c r="O41" i="9" s="1"/>
  <c r="M37" i="9"/>
  <c r="M89" i="9" s="1"/>
  <c r="L37" i="9"/>
  <c r="L41" i="9" s="1"/>
  <c r="K37" i="9"/>
  <c r="K41" i="9" s="1"/>
  <c r="J37" i="9"/>
  <c r="J41" i="9" s="1"/>
  <c r="I37" i="9"/>
  <c r="I89" i="9" s="1"/>
  <c r="H37" i="9"/>
  <c r="H41" i="9" s="1"/>
  <c r="G37" i="9"/>
  <c r="G41" i="9" s="1"/>
  <c r="F37" i="9"/>
  <c r="F41" i="9" s="1"/>
  <c r="E37" i="9"/>
  <c r="D37" i="9"/>
  <c r="D41" i="9" s="1"/>
  <c r="C37" i="9"/>
  <c r="C41" i="9" s="1"/>
  <c r="AM29" i="9"/>
  <c r="AK25" i="9"/>
  <c r="AK77" i="9" s="1"/>
  <c r="AI25" i="9"/>
  <c r="AI77" i="9" s="1"/>
  <c r="AG25" i="9"/>
  <c r="AG77" i="9" s="1"/>
  <c r="AE25" i="9"/>
  <c r="AE77" i="9" s="1"/>
  <c r="AC25" i="9"/>
  <c r="AC77" i="9" s="1"/>
  <c r="AA25" i="9"/>
  <c r="AA77" i="9" s="1"/>
  <c r="Y25" i="9"/>
  <c r="Y77" i="9" s="1"/>
  <c r="W25" i="9"/>
  <c r="W77" i="9" s="1"/>
  <c r="U25" i="9"/>
  <c r="U77" i="9" s="1"/>
  <c r="S25" i="9"/>
  <c r="S77" i="9" s="1"/>
  <c r="Q25" i="9"/>
  <c r="Q77" i="9" s="1"/>
  <c r="O25" i="9"/>
  <c r="O77" i="9" s="1"/>
  <c r="M25" i="9"/>
  <c r="M77" i="9" s="1"/>
  <c r="L25" i="9"/>
  <c r="L77" i="9" s="1"/>
  <c r="K25" i="9"/>
  <c r="K77" i="9" s="1"/>
  <c r="J25" i="9"/>
  <c r="J77" i="9" s="1"/>
  <c r="I25" i="9"/>
  <c r="I77" i="9" s="1"/>
  <c r="H25" i="9"/>
  <c r="H77" i="9" s="1"/>
  <c r="G25" i="9"/>
  <c r="G77" i="9" s="1"/>
  <c r="F25" i="9"/>
  <c r="F77" i="9" s="1"/>
  <c r="E25" i="9"/>
  <c r="D25" i="9"/>
  <c r="C25" i="9"/>
  <c r="AM23" i="9"/>
  <c r="AM25" i="9" s="1"/>
  <c r="AK17" i="9"/>
  <c r="AK69" i="9" s="1"/>
  <c r="AI17" i="9"/>
  <c r="AI69" i="9" s="1"/>
  <c r="AG17" i="9"/>
  <c r="AG69" i="9" s="1"/>
  <c r="AE17" i="9"/>
  <c r="AE69" i="9" s="1"/>
  <c r="AC17" i="9"/>
  <c r="AC69" i="9" s="1"/>
  <c r="AA17" i="9"/>
  <c r="AA69" i="9" s="1"/>
  <c r="Y17" i="9"/>
  <c r="Y69" i="9" s="1"/>
  <c r="W17" i="9"/>
  <c r="W69" i="9" s="1"/>
  <c r="U17" i="9"/>
  <c r="U69" i="9" s="1"/>
  <c r="S17" i="9"/>
  <c r="S69" i="9" s="1"/>
  <c r="Q17" i="9"/>
  <c r="Q69" i="9" s="1"/>
  <c r="O17" i="9"/>
  <c r="O69" i="9" s="1"/>
  <c r="M17" i="9"/>
  <c r="M69" i="9" s="1"/>
  <c r="L17" i="9"/>
  <c r="L69" i="9" s="1"/>
  <c r="K17" i="9"/>
  <c r="K69" i="9" s="1"/>
  <c r="J17" i="9"/>
  <c r="J69" i="9" s="1"/>
  <c r="I17" i="9"/>
  <c r="I69" i="9" s="1"/>
  <c r="H17" i="9"/>
  <c r="H69" i="9" s="1"/>
  <c r="G17" i="9"/>
  <c r="G69" i="9" s="1"/>
  <c r="F17" i="9"/>
  <c r="F69" i="9" s="1"/>
  <c r="E17" i="9"/>
  <c r="D17" i="9"/>
  <c r="C17" i="9"/>
  <c r="AM8" i="9"/>
  <c r="E8" i="9"/>
  <c r="D8" i="9"/>
  <c r="C8" i="9"/>
  <c r="C19" i="9" s="1"/>
  <c r="C27" i="9" s="1"/>
  <c r="C28" i="9" s="1"/>
  <c r="D1" i="9"/>
  <c r="E1" i="9" s="1"/>
  <c r="F1" i="9" s="1"/>
  <c r="G1" i="9" s="1"/>
  <c r="H1" i="9" s="1"/>
  <c r="I1" i="9" s="1"/>
  <c r="J1" i="9" s="1"/>
  <c r="K1" i="9" s="1"/>
  <c r="L1" i="9" s="1"/>
  <c r="M1" i="9" s="1"/>
  <c r="O1" i="9" s="1"/>
  <c r="Q1" i="9" s="1"/>
  <c r="S1" i="9" s="1"/>
  <c r="U1" i="9" s="1"/>
  <c r="W1" i="9" s="1"/>
  <c r="Y1" i="9" s="1"/>
  <c r="AA1" i="9" s="1"/>
  <c r="AC1" i="9" s="1"/>
  <c r="AE1" i="9" s="1"/>
  <c r="AG1" i="9" s="1"/>
  <c r="AI1" i="9" s="1"/>
  <c r="AK1" i="9" s="1"/>
  <c r="I93" i="9" l="1"/>
  <c r="M93" i="9"/>
  <c r="U93" i="9"/>
  <c r="AC93" i="9"/>
  <c r="AK93" i="9"/>
  <c r="AM77" i="9"/>
  <c r="AM17" i="9"/>
  <c r="AM69" i="9" s="1"/>
  <c r="F19" i="9"/>
  <c r="F27" i="9" s="1"/>
  <c r="J19" i="9"/>
  <c r="J27" i="9" s="1"/>
  <c r="O19" i="9"/>
  <c r="O27" i="9" s="1"/>
  <c r="O31" i="9" s="1"/>
  <c r="O43" i="9" s="1"/>
  <c r="O47" i="9" s="1"/>
  <c r="W19" i="9"/>
  <c r="W27" i="9" s="1"/>
  <c r="W31" i="9" s="1"/>
  <c r="W43" i="9" s="1"/>
  <c r="W47" i="9" s="1"/>
  <c r="AE19" i="9"/>
  <c r="AE27" i="9" s="1"/>
  <c r="AE31" i="9" s="1"/>
  <c r="AE43" i="9" s="1"/>
  <c r="AE47" i="9" s="1"/>
  <c r="E77" i="9"/>
  <c r="E89" i="9"/>
  <c r="I71" i="9"/>
  <c r="I79" i="9" s="1"/>
  <c r="I83" i="9" s="1"/>
  <c r="I95" i="9" s="1"/>
  <c r="I99" i="9" s="1"/>
  <c r="M71" i="9"/>
  <c r="M79" i="9" s="1"/>
  <c r="M83" i="9" s="1"/>
  <c r="M95" i="9" s="1"/>
  <c r="M99" i="9" s="1"/>
  <c r="U71" i="9"/>
  <c r="U79" i="9" s="1"/>
  <c r="U83" i="9" s="1"/>
  <c r="U95" i="9" s="1"/>
  <c r="U99" i="9" s="1"/>
  <c r="AC71" i="9"/>
  <c r="AC79" i="9" s="1"/>
  <c r="AC83" i="9" s="1"/>
  <c r="AC95" i="9" s="1"/>
  <c r="AC99" i="9" s="1"/>
  <c r="AK71" i="9"/>
  <c r="AK79" i="9" s="1"/>
  <c r="AK83" i="9" s="1"/>
  <c r="AK95" i="9" s="1"/>
  <c r="AK99" i="9" s="1"/>
  <c r="AM102" i="9"/>
  <c r="AM97" i="9"/>
  <c r="AM91" i="9"/>
  <c r="AM60" i="9"/>
  <c r="AM71" i="9" s="1"/>
  <c r="AM79" i="9" s="1"/>
  <c r="C97" i="9"/>
  <c r="C91" i="9"/>
  <c r="C81" i="9"/>
  <c r="C60" i="9"/>
  <c r="C71" i="9" s="1"/>
  <c r="C69" i="9"/>
  <c r="C31" i="9"/>
  <c r="C43" i="9" s="1"/>
  <c r="C47" i="9" s="1"/>
  <c r="G19" i="9"/>
  <c r="G27" i="9" s="1"/>
  <c r="K19" i="9"/>
  <c r="K27" i="9" s="1"/>
  <c r="Q19" i="9"/>
  <c r="Q27" i="9" s="1"/>
  <c r="Q31" i="9" s="1"/>
  <c r="Q43" i="9" s="1"/>
  <c r="Q47" i="9" s="1"/>
  <c r="Y19" i="9"/>
  <c r="Y27" i="9" s="1"/>
  <c r="Y31" i="9" s="1"/>
  <c r="Y43" i="9" s="1"/>
  <c r="Y47" i="9" s="1"/>
  <c r="AG19" i="9"/>
  <c r="AG27" i="9" s="1"/>
  <c r="AG31" i="9" s="1"/>
  <c r="AG43" i="9" s="1"/>
  <c r="AG47" i="9" s="1"/>
  <c r="F71" i="9"/>
  <c r="F79" i="9" s="1"/>
  <c r="F83" i="9" s="1"/>
  <c r="J71" i="9"/>
  <c r="J79" i="9" s="1"/>
  <c r="J83" i="9" s="1"/>
  <c r="O71" i="9"/>
  <c r="O79" i="9" s="1"/>
  <c r="O83" i="9" s="1"/>
  <c r="W71" i="9"/>
  <c r="W79" i="9" s="1"/>
  <c r="W83" i="9" s="1"/>
  <c r="AE71" i="9"/>
  <c r="AE79" i="9" s="1"/>
  <c r="AE83" i="9" s="1"/>
  <c r="D97" i="9"/>
  <c r="D91" i="9"/>
  <c r="D81" i="9"/>
  <c r="D60" i="9"/>
  <c r="D102" i="9"/>
  <c r="D69" i="9"/>
  <c r="D19" i="9"/>
  <c r="D27" i="9" s="1"/>
  <c r="H19" i="9"/>
  <c r="H27" i="9" s="1"/>
  <c r="L19" i="9"/>
  <c r="L27" i="9" s="1"/>
  <c r="S19" i="9"/>
  <c r="S27" i="9" s="1"/>
  <c r="S31" i="9" s="1"/>
  <c r="S43" i="9" s="1"/>
  <c r="S47" i="9" s="1"/>
  <c r="AA19" i="9"/>
  <c r="AA27" i="9" s="1"/>
  <c r="AA31" i="9" s="1"/>
  <c r="AA43" i="9" s="1"/>
  <c r="AA47" i="9" s="1"/>
  <c r="AI19" i="9"/>
  <c r="AI27" i="9" s="1"/>
  <c r="AI31" i="9" s="1"/>
  <c r="AI43" i="9" s="1"/>
  <c r="AI47" i="9" s="1"/>
  <c r="C77" i="9"/>
  <c r="AM81" i="9"/>
  <c r="G71" i="9"/>
  <c r="G79" i="9" s="1"/>
  <c r="G83" i="9" s="1"/>
  <c r="K71" i="9"/>
  <c r="K79" i="9" s="1"/>
  <c r="K83" i="9" s="1"/>
  <c r="Q71" i="9"/>
  <c r="Q79" i="9" s="1"/>
  <c r="Q83" i="9" s="1"/>
  <c r="Y71" i="9"/>
  <c r="Y79" i="9" s="1"/>
  <c r="Y83" i="9" s="1"/>
  <c r="AG71" i="9"/>
  <c r="AG79" i="9" s="1"/>
  <c r="AG83" i="9" s="1"/>
  <c r="F102" i="9"/>
  <c r="E97" i="9"/>
  <c r="E91" i="9"/>
  <c r="E81" i="9"/>
  <c r="E60" i="9"/>
  <c r="E71" i="9" s="1"/>
  <c r="E79" i="9" s="1"/>
  <c r="E83" i="9" s="1"/>
  <c r="E102" i="9"/>
  <c r="E69" i="9"/>
  <c r="E19" i="9"/>
  <c r="E27" i="9" s="1"/>
  <c r="I19" i="9"/>
  <c r="I27" i="9" s="1"/>
  <c r="M19" i="9"/>
  <c r="M27" i="9" s="1"/>
  <c r="U19" i="9"/>
  <c r="U27" i="9" s="1"/>
  <c r="U31" i="9" s="1"/>
  <c r="AC19" i="9"/>
  <c r="AC27" i="9" s="1"/>
  <c r="AC31" i="9" s="1"/>
  <c r="AK19" i="9"/>
  <c r="AK27" i="9" s="1"/>
  <c r="AK31" i="9" s="1"/>
  <c r="D77" i="9"/>
  <c r="H71" i="9"/>
  <c r="H79" i="9" s="1"/>
  <c r="H83" i="9" s="1"/>
  <c r="L71" i="9"/>
  <c r="L79" i="9" s="1"/>
  <c r="L83" i="9" s="1"/>
  <c r="S71" i="9"/>
  <c r="S79" i="9" s="1"/>
  <c r="S83" i="9" s="1"/>
  <c r="AA71" i="9"/>
  <c r="AA79" i="9" s="1"/>
  <c r="AA83" i="9" s="1"/>
  <c r="AI71" i="9"/>
  <c r="AI79" i="9" s="1"/>
  <c r="AI83" i="9" s="1"/>
  <c r="E41" i="9"/>
  <c r="I41" i="9"/>
  <c r="M41" i="9"/>
  <c r="U41" i="9"/>
  <c r="AC41" i="9"/>
  <c r="AK41" i="9"/>
  <c r="F89" i="9"/>
  <c r="F93" i="9" s="1"/>
  <c r="J89" i="9"/>
  <c r="J93" i="9" s="1"/>
  <c r="O89" i="9"/>
  <c r="O93" i="9" s="1"/>
  <c r="W89" i="9"/>
  <c r="W93" i="9" s="1"/>
  <c r="AE89" i="9"/>
  <c r="AE93" i="9" s="1"/>
  <c r="AM89" i="9"/>
  <c r="AM93" i="9" s="1"/>
  <c r="C89" i="9"/>
  <c r="C93" i="9" s="1"/>
  <c r="G89" i="9"/>
  <c r="G93" i="9" s="1"/>
  <c r="K89" i="9"/>
  <c r="K93" i="9" s="1"/>
  <c r="Q89" i="9"/>
  <c r="Q93" i="9" s="1"/>
  <c r="Y89" i="9"/>
  <c r="Y93" i="9" s="1"/>
  <c r="AG89" i="9"/>
  <c r="AG93" i="9" s="1"/>
  <c r="D89" i="9"/>
  <c r="D93" i="9" s="1"/>
  <c r="H89" i="9"/>
  <c r="H93" i="9" s="1"/>
  <c r="L89" i="9"/>
  <c r="L93" i="9" s="1"/>
  <c r="S89" i="9"/>
  <c r="S93" i="9" s="1"/>
  <c r="AA89" i="9"/>
  <c r="AA93" i="9" s="1"/>
  <c r="AI89" i="9"/>
  <c r="AI93" i="9" s="1"/>
  <c r="M31" i="9" l="1"/>
  <c r="M28" i="9"/>
  <c r="L31" i="9"/>
  <c r="L43" i="9" s="1"/>
  <c r="L47" i="9" s="1"/>
  <c r="L28" i="9"/>
  <c r="F31" i="9"/>
  <c r="F43" i="9" s="1"/>
  <c r="F47" i="9" s="1"/>
  <c r="F28" i="9"/>
  <c r="I31" i="9"/>
  <c r="I28" i="9"/>
  <c r="H31" i="9"/>
  <c r="H43" i="9" s="1"/>
  <c r="H47" i="9" s="1"/>
  <c r="H28" i="9"/>
  <c r="K31" i="9"/>
  <c r="K43" i="9" s="1"/>
  <c r="K47" i="9" s="1"/>
  <c r="K28" i="9"/>
  <c r="E31" i="9"/>
  <c r="E28" i="9"/>
  <c r="D31" i="9"/>
  <c r="D43" i="9" s="1"/>
  <c r="D47" i="9" s="1"/>
  <c r="D28" i="9"/>
  <c r="G31" i="9"/>
  <c r="G43" i="9" s="1"/>
  <c r="G47" i="9" s="1"/>
  <c r="G28" i="9"/>
  <c r="J31" i="9"/>
  <c r="J43" i="9" s="1"/>
  <c r="J47" i="9" s="1"/>
  <c r="J28" i="9"/>
  <c r="AI95" i="9"/>
  <c r="AI99" i="9" s="1"/>
  <c r="H95" i="9"/>
  <c r="H99" i="9" s="1"/>
  <c r="U43" i="9"/>
  <c r="U47" i="9" s="1"/>
  <c r="Y95" i="9"/>
  <c r="Y99" i="9" s="1"/>
  <c r="O95" i="9"/>
  <c r="O99" i="9" s="1"/>
  <c r="AA95" i="9"/>
  <c r="AA99" i="9" s="1"/>
  <c r="M43" i="9"/>
  <c r="M47" i="9" s="1"/>
  <c r="Q95" i="9"/>
  <c r="Q99" i="9" s="1"/>
  <c r="J95" i="9"/>
  <c r="J99" i="9" s="1"/>
  <c r="S95" i="9"/>
  <c r="S99" i="9" s="1"/>
  <c r="AK43" i="9"/>
  <c r="AK47" i="9" s="1"/>
  <c r="I43" i="9"/>
  <c r="I47" i="9" s="1"/>
  <c r="K95" i="9"/>
  <c r="K99" i="9" s="1"/>
  <c r="D71" i="9"/>
  <c r="D79" i="9" s="1"/>
  <c r="D83" i="9" s="1"/>
  <c r="D95" i="9" s="1"/>
  <c r="D99" i="9" s="1"/>
  <c r="AE95" i="9"/>
  <c r="AE99" i="9" s="1"/>
  <c r="F95" i="9"/>
  <c r="F99" i="9" s="1"/>
  <c r="C79" i="9"/>
  <c r="C83" i="9" s="1"/>
  <c r="C95" i="9" s="1"/>
  <c r="C99" i="9" s="1"/>
  <c r="AM83" i="9"/>
  <c r="AM95" i="9" s="1"/>
  <c r="AM99" i="9" s="1"/>
  <c r="L95" i="9"/>
  <c r="L99" i="9" s="1"/>
  <c r="AC43" i="9"/>
  <c r="AC47" i="9" s="1"/>
  <c r="E43" i="9"/>
  <c r="E47" i="9" s="1"/>
  <c r="AG95" i="9"/>
  <c r="AG99" i="9" s="1"/>
  <c r="G95" i="9"/>
  <c r="G99" i="9" s="1"/>
  <c r="W95" i="9"/>
  <c r="W99" i="9" s="1"/>
  <c r="E93" i="9"/>
  <c r="E95" i="9" s="1"/>
  <c r="E99" i="9" s="1"/>
  <c r="AM19" i="9"/>
  <c r="AM27" i="9" s="1"/>
  <c r="AM31" i="9" s="1"/>
  <c r="AM43" i="9" s="1"/>
  <c r="AM47" i="9" s="1"/>
  <c r="M186" i="8" l="1"/>
  <c r="L186" i="8"/>
  <c r="K186" i="8"/>
  <c r="J186" i="8"/>
  <c r="I186" i="8"/>
  <c r="H186" i="8"/>
  <c r="G186" i="8"/>
  <c r="F186" i="8"/>
  <c r="E186" i="8"/>
  <c r="D186" i="8"/>
  <c r="C186" i="8"/>
  <c r="M184" i="8"/>
  <c r="L184" i="8"/>
  <c r="K184" i="8"/>
  <c r="J184" i="8"/>
  <c r="I184" i="8"/>
  <c r="H184" i="8"/>
  <c r="G184" i="8"/>
  <c r="F184" i="8"/>
  <c r="E184" i="8"/>
  <c r="D184" i="8"/>
  <c r="C184" i="8"/>
  <c r="M182" i="8"/>
  <c r="L182" i="8"/>
  <c r="K182" i="8"/>
  <c r="J182" i="8"/>
  <c r="I182" i="8"/>
  <c r="H182" i="8"/>
  <c r="G182" i="8"/>
  <c r="F182" i="8"/>
  <c r="E182" i="8"/>
  <c r="D182" i="8"/>
  <c r="C182" i="8"/>
  <c r="M180" i="8"/>
  <c r="L180" i="8"/>
  <c r="K180" i="8"/>
  <c r="J180" i="8"/>
  <c r="I180" i="8"/>
  <c r="H180" i="8"/>
  <c r="G180" i="8"/>
  <c r="F180" i="8"/>
  <c r="E180" i="8"/>
  <c r="D180" i="8"/>
  <c r="C180" i="8"/>
  <c r="M177" i="8"/>
  <c r="L177" i="8"/>
  <c r="K177" i="8"/>
  <c r="J177" i="8"/>
  <c r="I177" i="8"/>
  <c r="H177" i="8"/>
  <c r="G177" i="8"/>
  <c r="F177" i="8"/>
  <c r="E177" i="8"/>
  <c r="D177" i="8"/>
  <c r="C177" i="8"/>
  <c r="M176" i="8"/>
  <c r="M178" i="8" s="1"/>
  <c r="L176" i="8"/>
  <c r="K176" i="8"/>
  <c r="J176" i="8"/>
  <c r="I176" i="8"/>
  <c r="I178" i="8" s="1"/>
  <c r="H176" i="8"/>
  <c r="G176" i="8"/>
  <c r="F176" i="8"/>
  <c r="E176" i="8"/>
  <c r="E178" i="8" s="1"/>
  <c r="D176" i="8"/>
  <c r="C176" i="8"/>
  <c r="M170" i="8"/>
  <c r="L170" i="8"/>
  <c r="K170" i="8"/>
  <c r="J170" i="8"/>
  <c r="I170" i="8"/>
  <c r="H170" i="8"/>
  <c r="G170" i="8"/>
  <c r="F170" i="8"/>
  <c r="E170" i="8"/>
  <c r="D170" i="8"/>
  <c r="C170" i="8"/>
  <c r="M166" i="8"/>
  <c r="L166" i="8"/>
  <c r="K166" i="8"/>
  <c r="J166" i="8"/>
  <c r="I166" i="8"/>
  <c r="H166" i="8"/>
  <c r="G166" i="8"/>
  <c r="F166" i="8"/>
  <c r="E166" i="8"/>
  <c r="D166" i="8"/>
  <c r="C166" i="8"/>
  <c r="M163" i="8"/>
  <c r="L163" i="8"/>
  <c r="K163" i="8"/>
  <c r="J163" i="8"/>
  <c r="I163" i="8"/>
  <c r="H163" i="8"/>
  <c r="G163" i="8"/>
  <c r="F163" i="8"/>
  <c r="E163" i="8"/>
  <c r="D163" i="8"/>
  <c r="C163" i="8"/>
  <c r="M162" i="8"/>
  <c r="L162" i="8"/>
  <c r="K162" i="8"/>
  <c r="J162" i="8"/>
  <c r="I162" i="8"/>
  <c r="H162" i="8"/>
  <c r="G162" i="8"/>
  <c r="F162" i="8"/>
  <c r="E162" i="8"/>
  <c r="D162" i="8"/>
  <c r="C162" i="8"/>
  <c r="M161" i="8"/>
  <c r="L161" i="8"/>
  <c r="K161" i="8"/>
  <c r="J161" i="8"/>
  <c r="I161" i="8"/>
  <c r="H161" i="8"/>
  <c r="G161" i="8"/>
  <c r="F161" i="8"/>
  <c r="E161" i="8"/>
  <c r="D161" i="8"/>
  <c r="C161" i="8"/>
  <c r="M157" i="8"/>
  <c r="L157" i="8"/>
  <c r="K157" i="8"/>
  <c r="J157" i="8"/>
  <c r="I157" i="8"/>
  <c r="H157" i="8"/>
  <c r="G157" i="8"/>
  <c r="F157" i="8"/>
  <c r="E157" i="8"/>
  <c r="D157" i="8"/>
  <c r="C157" i="8"/>
  <c r="M156" i="8"/>
  <c r="L156" i="8"/>
  <c r="K156" i="8"/>
  <c r="J156" i="8"/>
  <c r="I156" i="8"/>
  <c r="H156" i="8"/>
  <c r="G156" i="8"/>
  <c r="F156" i="8"/>
  <c r="E156" i="8"/>
  <c r="D156" i="8"/>
  <c r="C156" i="8"/>
  <c r="M155" i="8"/>
  <c r="L155" i="8"/>
  <c r="K155" i="8"/>
  <c r="J155" i="8"/>
  <c r="I155" i="8"/>
  <c r="H155" i="8"/>
  <c r="G155" i="8"/>
  <c r="F155" i="8"/>
  <c r="E155" i="8"/>
  <c r="D155" i="8"/>
  <c r="C155" i="8"/>
  <c r="M148" i="8"/>
  <c r="L148" i="8"/>
  <c r="K148" i="8"/>
  <c r="J148" i="8"/>
  <c r="I148" i="8"/>
  <c r="H148" i="8"/>
  <c r="G148" i="8"/>
  <c r="F148" i="8"/>
  <c r="E148" i="8"/>
  <c r="D148" i="8"/>
  <c r="C148" i="8"/>
  <c r="M146" i="8"/>
  <c r="L146" i="8"/>
  <c r="K146" i="8"/>
  <c r="J146" i="8"/>
  <c r="I146" i="8"/>
  <c r="H146" i="8"/>
  <c r="G146" i="8"/>
  <c r="F146" i="8"/>
  <c r="E146" i="8"/>
  <c r="D146" i="8"/>
  <c r="C146" i="8"/>
  <c r="M145" i="8"/>
  <c r="L145" i="8"/>
  <c r="K145" i="8"/>
  <c r="J145" i="8"/>
  <c r="J147" i="8" s="1"/>
  <c r="I145" i="8"/>
  <c r="H145" i="8"/>
  <c r="G145" i="8"/>
  <c r="F145" i="8"/>
  <c r="F147" i="8" s="1"/>
  <c r="E145" i="8"/>
  <c r="D145" i="8"/>
  <c r="C145" i="8"/>
  <c r="M141" i="8"/>
  <c r="L141" i="8"/>
  <c r="K141" i="8"/>
  <c r="J141" i="8"/>
  <c r="I141" i="8"/>
  <c r="H141" i="8"/>
  <c r="G141" i="8"/>
  <c r="F141" i="8"/>
  <c r="E141" i="8"/>
  <c r="D141" i="8"/>
  <c r="C141" i="8"/>
  <c r="M140" i="8"/>
  <c r="L140" i="8"/>
  <c r="K140" i="8"/>
  <c r="J140" i="8"/>
  <c r="I140" i="8"/>
  <c r="H140" i="8"/>
  <c r="G140" i="8"/>
  <c r="F140" i="8"/>
  <c r="E140" i="8"/>
  <c r="D140" i="8"/>
  <c r="C140" i="8"/>
  <c r="M131" i="8"/>
  <c r="L131" i="8"/>
  <c r="K131" i="8"/>
  <c r="J131" i="8"/>
  <c r="I131" i="8"/>
  <c r="H131" i="8"/>
  <c r="G131" i="8"/>
  <c r="F131" i="8"/>
  <c r="E131" i="8"/>
  <c r="D131" i="8"/>
  <c r="C131" i="8"/>
  <c r="L129" i="8"/>
  <c r="K129" i="8"/>
  <c r="J129" i="8"/>
  <c r="I129" i="8"/>
  <c r="H129" i="8"/>
  <c r="G129" i="8"/>
  <c r="F129" i="8"/>
  <c r="E129" i="8"/>
  <c r="M128" i="8"/>
  <c r="L128" i="8"/>
  <c r="K128" i="8"/>
  <c r="J128" i="8"/>
  <c r="I128" i="8"/>
  <c r="H128" i="8"/>
  <c r="G128" i="8"/>
  <c r="F128" i="8"/>
  <c r="E128" i="8"/>
  <c r="D128" i="8"/>
  <c r="C128" i="8"/>
  <c r="M127" i="8"/>
  <c r="L127" i="8"/>
  <c r="K127" i="8"/>
  <c r="J127" i="8"/>
  <c r="I127" i="8"/>
  <c r="H127" i="8"/>
  <c r="G127" i="8"/>
  <c r="F127" i="8"/>
  <c r="E127" i="8"/>
  <c r="D127" i="8"/>
  <c r="C127" i="8"/>
  <c r="M126" i="8"/>
  <c r="L126" i="8"/>
  <c r="K126" i="8"/>
  <c r="J126" i="8"/>
  <c r="I126" i="8"/>
  <c r="H126" i="8"/>
  <c r="G126" i="8"/>
  <c r="F126" i="8"/>
  <c r="E126" i="8"/>
  <c r="D126" i="8"/>
  <c r="C126" i="8"/>
  <c r="M125" i="8"/>
  <c r="L125" i="8"/>
  <c r="K125" i="8"/>
  <c r="J125" i="8"/>
  <c r="I125" i="8"/>
  <c r="H125" i="8"/>
  <c r="G125" i="8"/>
  <c r="F125" i="8"/>
  <c r="E125" i="8"/>
  <c r="D125" i="8"/>
  <c r="C125" i="8"/>
  <c r="M121" i="8"/>
  <c r="L121" i="8"/>
  <c r="K121" i="8"/>
  <c r="J121" i="8"/>
  <c r="I121" i="8"/>
  <c r="H121" i="8"/>
  <c r="G121" i="8"/>
  <c r="F121" i="8"/>
  <c r="E121" i="8"/>
  <c r="D121" i="8"/>
  <c r="C121" i="8"/>
  <c r="M120" i="8"/>
  <c r="L120" i="8"/>
  <c r="K120" i="8"/>
  <c r="J120" i="8"/>
  <c r="I120" i="8"/>
  <c r="H120" i="8"/>
  <c r="G120" i="8"/>
  <c r="F120" i="8"/>
  <c r="E120" i="8"/>
  <c r="D120" i="8"/>
  <c r="C120" i="8"/>
  <c r="M119" i="8"/>
  <c r="L119" i="8"/>
  <c r="K119" i="8"/>
  <c r="J119" i="8"/>
  <c r="I119" i="8"/>
  <c r="H119" i="8"/>
  <c r="H122" i="8" s="1"/>
  <c r="G119" i="8"/>
  <c r="F119" i="8"/>
  <c r="E119" i="8"/>
  <c r="D119" i="8"/>
  <c r="D122" i="8" s="1"/>
  <c r="C119" i="8"/>
  <c r="M113" i="8"/>
  <c r="L113" i="8"/>
  <c r="K113" i="8"/>
  <c r="J113" i="8"/>
  <c r="I113" i="8"/>
  <c r="H113" i="8"/>
  <c r="G113" i="8"/>
  <c r="F113" i="8"/>
  <c r="E113" i="8"/>
  <c r="D113" i="8"/>
  <c r="C113" i="8"/>
  <c r="M110" i="8"/>
  <c r="L110" i="8"/>
  <c r="K110" i="8"/>
  <c r="J110" i="8"/>
  <c r="I110" i="8"/>
  <c r="H110" i="8"/>
  <c r="G110" i="8"/>
  <c r="F110" i="8"/>
  <c r="E110" i="8"/>
  <c r="D110" i="8"/>
  <c r="C110" i="8"/>
  <c r="M109" i="8"/>
  <c r="M111" i="8" s="1"/>
  <c r="L109" i="8"/>
  <c r="K109" i="8"/>
  <c r="J109" i="8"/>
  <c r="I109" i="8"/>
  <c r="H109" i="8"/>
  <c r="G109" i="8"/>
  <c r="F109" i="8"/>
  <c r="E109" i="8"/>
  <c r="E111" i="8" s="1"/>
  <c r="D109" i="8"/>
  <c r="C109" i="8"/>
  <c r="M105" i="8"/>
  <c r="L105" i="8"/>
  <c r="K105" i="8"/>
  <c r="J105" i="8"/>
  <c r="I105" i="8"/>
  <c r="H105" i="8"/>
  <c r="G105" i="8"/>
  <c r="F105" i="8"/>
  <c r="E105" i="8"/>
  <c r="D105" i="8"/>
  <c r="C105" i="8"/>
  <c r="M104" i="8"/>
  <c r="L104" i="8"/>
  <c r="K104" i="8"/>
  <c r="J104" i="8"/>
  <c r="I104" i="8"/>
  <c r="H104" i="8"/>
  <c r="G104" i="8"/>
  <c r="F104" i="8"/>
  <c r="E104" i="8"/>
  <c r="D104" i="8"/>
  <c r="C104" i="8"/>
  <c r="C106" i="8" s="1"/>
  <c r="M101" i="8"/>
  <c r="L101" i="8"/>
  <c r="K101" i="8"/>
  <c r="J101" i="8"/>
  <c r="I101" i="8"/>
  <c r="H101" i="8"/>
  <c r="G101" i="8"/>
  <c r="F101" i="8"/>
  <c r="E101" i="8"/>
  <c r="D101" i="8"/>
  <c r="C101" i="8"/>
  <c r="M100" i="8"/>
  <c r="L100" i="8"/>
  <c r="K100" i="8"/>
  <c r="J100" i="8"/>
  <c r="I100" i="8"/>
  <c r="H100" i="8"/>
  <c r="G100" i="8"/>
  <c r="F100" i="8"/>
  <c r="E100" i="8"/>
  <c r="D100" i="8"/>
  <c r="C100" i="8"/>
  <c r="M98" i="8"/>
  <c r="L98" i="8"/>
  <c r="K98" i="8"/>
  <c r="J98" i="8"/>
  <c r="I98" i="8"/>
  <c r="H98" i="8"/>
  <c r="G98" i="8"/>
  <c r="F98" i="8"/>
  <c r="E98" i="8"/>
  <c r="D98" i="8"/>
  <c r="C98" i="8"/>
  <c r="M97" i="8"/>
  <c r="L97" i="8"/>
  <c r="K97" i="8"/>
  <c r="K99" i="8" s="1"/>
  <c r="J97" i="8"/>
  <c r="I97" i="8"/>
  <c r="H97" i="8"/>
  <c r="G97" i="8"/>
  <c r="G99" i="8" s="1"/>
  <c r="F97" i="8"/>
  <c r="E97" i="8"/>
  <c r="D97" i="8"/>
  <c r="C97" i="8"/>
  <c r="C99" i="8" s="1"/>
  <c r="D92" i="8"/>
  <c r="E92" i="8" s="1"/>
  <c r="F92" i="8" s="1"/>
  <c r="G92" i="8" s="1"/>
  <c r="H92" i="8" s="1"/>
  <c r="I92" i="8" s="1"/>
  <c r="J92" i="8" s="1"/>
  <c r="K92" i="8" s="1"/>
  <c r="L92" i="8" s="1"/>
  <c r="M92" i="8" s="1"/>
  <c r="M57" i="8"/>
  <c r="L57" i="8"/>
  <c r="K57" i="8"/>
  <c r="J57" i="8"/>
  <c r="I57" i="8"/>
  <c r="H57" i="8"/>
  <c r="G57" i="8"/>
  <c r="F57" i="8"/>
  <c r="E57" i="8"/>
  <c r="D57" i="8"/>
  <c r="C57" i="8"/>
  <c r="M46" i="8"/>
  <c r="M48" i="8" s="1"/>
  <c r="L46" i="8"/>
  <c r="L48" i="8" s="1"/>
  <c r="K46" i="8"/>
  <c r="K48" i="8" s="1"/>
  <c r="J46" i="8"/>
  <c r="J48" i="8" s="1"/>
  <c r="I46" i="8"/>
  <c r="I48" i="8" s="1"/>
  <c r="H46" i="8"/>
  <c r="H48" i="8" s="1"/>
  <c r="G46" i="8"/>
  <c r="G48" i="8" s="1"/>
  <c r="F46" i="8"/>
  <c r="F48" i="8" s="1"/>
  <c r="E46" i="8"/>
  <c r="E48" i="8" s="1"/>
  <c r="D46" i="8"/>
  <c r="D48" i="8" s="1"/>
  <c r="C46" i="8"/>
  <c r="C48" i="8" s="1"/>
  <c r="M32" i="8"/>
  <c r="L32" i="8"/>
  <c r="K32" i="8"/>
  <c r="J32" i="8"/>
  <c r="I32" i="8"/>
  <c r="H32" i="8"/>
  <c r="G32" i="8"/>
  <c r="F32" i="8"/>
  <c r="E32" i="8"/>
  <c r="D32" i="8"/>
  <c r="C32" i="8"/>
  <c r="M9" i="8"/>
  <c r="L9" i="8"/>
  <c r="K9" i="8"/>
  <c r="J9" i="8"/>
  <c r="I9" i="8"/>
  <c r="H9" i="8"/>
  <c r="G9" i="8"/>
  <c r="F9" i="8"/>
  <c r="E9" i="8"/>
  <c r="D9" i="8"/>
  <c r="D1" i="8"/>
  <c r="E1" i="8" s="1"/>
  <c r="F1" i="8" s="1"/>
  <c r="G1" i="8" s="1"/>
  <c r="H1" i="8" s="1"/>
  <c r="I1" i="8" s="1"/>
  <c r="J1" i="8" s="1"/>
  <c r="K1" i="8" s="1"/>
  <c r="L1" i="8" s="1"/>
  <c r="M1" i="8" s="1"/>
  <c r="D178" i="8" l="1"/>
  <c r="H178" i="8"/>
  <c r="L178" i="8"/>
  <c r="L188" i="8" s="1"/>
  <c r="D111" i="8"/>
  <c r="E106" i="8"/>
  <c r="E115" i="8" s="1"/>
  <c r="M106" i="8"/>
  <c r="M115" i="8" s="1"/>
  <c r="C111" i="8"/>
  <c r="C115" i="8" s="1"/>
  <c r="G111" i="8"/>
  <c r="K111" i="8"/>
  <c r="D147" i="8"/>
  <c r="D149" i="8" s="1"/>
  <c r="H147" i="8"/>
  <c r="H149" i="8" s="1"/>
  <c r="L147" i="8"/>
  <c r="L149" i="8" s="1"/>
  <c r="K178" i="8"/>
  <c r="K188" i="8" s="1"/>
  <c r="D99" i="8"/>
  <c r="H99" i="8"/>
  <c r="L99" i="8"/>
  <c r="E99" i="8"/>
  <c r="I99" i="8"/>
  <c r="M99" i="8"/>
  <c r="D106" i="8"/>
  <c r="H106" i="8"/>
  <c r="L106" i="8"/>
  <c r="F111" i="8"/>
  <c r="J111" i="8"/>
  <c r="E122" i="8"/>
  <c r="E133" i="8" s="1"/>
  <c r="I122" i="8"/>
  <c r="I133" i="8" s="1"/>
  <c r="M122" i="8"/>
  <c r="E142" i="8"/>
  <c r="I142" i="8"/>
  <c r="M142" i="8"/>
  <c r="E164" i="8"/>
  <c r="I164" i="8"/>
  <c r="M164" i="8"/>
  <c r="F178" i="8"/>
  <c r="F188" i="8" s="1"/>
  <c r="J178" i="8"/>
  <c r="J188" i="8" s="1"/>
  <c r="C158" i="8"/>
  <c r="G158" i="8"/>
  <c r="K158" i="8"/>
  <c r="F106" i="8"/>
  <c r="J106" i="8"/>
  <c r="H111" i="8"/>
  <c r="L111" i="8"/>
  <c r="C142" i="8"/>
  <c r="G142" i="8"/>
  <c r="K142" i="8"/>
  <c r="F99" i="8"/>
  <c r="J99" i="8"/>
  <c r="I106" i="8"/>
  <c r="I111" i="8"/>
  <c r="F122" i="8"/>
  <c r="J122" i="8"/>
  <c r="J133" i="8" s="1"/>
  <c r="C129" i="8"/>
  <c r="D142" i="8"/>
  <c r="H142" i="8"/>
  <c r="L142" i="8"/>
  <c r="E147" i="8"/>
  <c r="E149" i="8" s="1"/>
  <c r="I147" i="8"/>
  <c r="I149" i="8" s="1"/>
  <c r="M147" i="8"/>
  <c r="M149" i="8" s="1"/>
  <c r="D158" i="8"/>
  <c r="H158" i="8"/>
  <c r="L158" i="8"/>
  <c r="F164" i="8"/>
  <c r="J164" i="8"/>
  <c r="C178" i="8"/>
  <c r="C188" i="8" s="1"/>
  <c r="G178" i="8"/>
  <c r="G188" i="8" s="1"/>
  <c r="F133" i="8"/>
  <c r="C122" i="8"/>
  <c r="G122" i="8"/>
  <c r="G133" i="8" s="1"/>
  <c r="K122" i="8"/>
  <c r="K133" i="8" s="1"/>
  <c r="D129" i="8"/>
  <c r="D133" i="8" s="1"/>
  <c r="F149" i="8"/>
  <c r="J149" i="8"/>
  <c r="E158" i="8"/>
  <c r="I158" i="8"/>
  <c r="M158" i="8"/>
  <c r="C164" i="8"/>
  <c r="C168" i="8" s="1"/>
  <c r="G164" i="8"/>
  <c r="K164" i="8"/>
  <c r="K168" i="8" s="1"/>
  <c r="D188" i="8"/>
  <c r="H188" i="8"/>
  <c r="G106" i="8"/>
  <c r="K106" i="8"/>
  <c r="L122" i="8"/>
  <c r="L133" i="8" s="1"/>
  <c r="M129" i="8"/>
  <c r="F142" i="8"/>
  <c r="J142" i="8"/>
  <c r="C147" i="8"/>
  <c r="C149" i="8" s="1"/>
  <c r="G147" i="8"/>
  <c r="G149" i="8" s="1"/>
  <c r="K147" i="8"/>
  <c r="K149" i="8" s="1"/>
  <c r="F158" i="8"/>
  <c r="J158" i="8"/>
  <c r="D164" i="8"/>
  <c r="H164" i="8"/>
  <c r="L164" i="8"/>
  <c r="E188" i="8"/>
  <c r="I188" i="8"/>
  <c r="M188" i="8"/>
  <c r="J115" i="8"/>
  <c r="H133" i="8"/>
  <c r="W4" i="7"/>
  <c r="X4" i="7"/>
  <c r="Y4" i="7"/>
  <c r="Z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C4" i="7"/>
  <c r="D1" i="7"/>
  <c r="E1" i="7" s="1"/>
  <c r="F1" i="7" s="1"/>
  <c r="G1" i="7" s="1"/>
  <c r="H1" i="7" s="1"/>
  <c r="I1" i="7" s="1"/>
  <c r="J1" i="7" s="1"/>
  <c r="K1" i="7" s="1"/>
  <c r="L1" i="7" s="1"/>
  <c r="M1" i="7" s="1"/>
  <c r="N1" i="7" s="1"/>
  <c r="O1" i="7" s="1"/>
  <c r="P1" i="7" s="1"/>
  <c r="Q1" i="7" s="1"/>
  <c r="R1" i="7" s="1"/>
  <c r="S1" i="7" s="1"/>
  <c r="T1" i="7" s="1"/>
  <c r="U1" i="7" s="1"/>
  <c r="V1" i="7" s="1"/>
  <c r="W1" i="7" s="1"/>
  <c r="X1" i="7" s="1"/>
  <c r="Y1" i="7" s="1"/>
  <c r="Z1" i="7" s="1"/>
  <c r="K115" i="8" l="1"/>
  <c r="H168" i="8"/>
  <c r="G151" i="8"/>
  <c r="E135" i="8"/>
  <c r="I168" i="8"/>
  <c r="D115" i="8"/>
  <c r="H151" i="8"/>
  <c r="G115" i="8"/>
  <c r="G135" i="8" s="1"/>
  <c r="M133" i="8"/>
  <c r="M135" i="8" s="1"/>
  <c r="E168" i="8"/>
  <c r="L151" i="8"/>
  <c r="F115" i="8"/>
  <c r="F135" i="8" s="1"/>
  <c r="F151" i="8"/>
  <c r="M151" i="8"/>
  <c r="L115" i="8"/>
  <c r="L135" i="8" s="1"/>
  <c r="D151" i="8"/>
  <c r="J168" i="8"/>
  <c r="C151" i="8"/>
  <c r="C172" i="8" s="1"/>
  <c r="C190" i="8" s="1"/>
  <c r="L168" i="8"/>
  <c r="I151" i="8"/>
  <c r="K151" i="8"/>
  <c r="K172" i="8" s="1"/>
  <c r="K190" i="8" s="1"/>
  <c r="H115" i="8"/>
  <c r="H135" i="8" s="1"/>
  <c r="G168" i="8"/>
  <c r="G172" i="8" s="1"/>
  <c r="G190" i="8" s="1"/>
  <c r="E151" i="8"/>
  <c r="F168" i="8"/>
  <c r="F172" i="8" s="1"/>
  <c r="F190" i="8" s="1"/>
  <c r="M168" i="8"/>
  <c r="M172" i="8" s="1"/>
  <c r="M190" i="8" s="1"/>
  <c r="K135" i="8"/>
  <c r="D135" i="8"/>
  <c r="C133" i="8"/>
  <c r="C135" i="8" s="1"/>
  <c r="I115" i="8"/>
  <c r="I135" i="8" s="1"/>
  <c r="D168" i="8"/>
  <c r="J135" i="8"/>
  <c r="J151" i="8"/>
  <c r="J172" i="8" s="1"/>
  <c r="J190" i="8" s="1"/>
  <c r="H172" i="8"/>
  <c r="H190" i="8" s="1"/>
  <c r="F11" i="4"/>
  <c r="D43" i="4"/>
  <c r="C43" i="4"/>
  <c r="B43" i="4"/>
  <c r="D40" i="4"/>
  <c r="C40" i="4"/>
  <c r="B40" i="4"/>
  <c r="D36" i="4"/>
  <c r="C36" i="4"/>
  <c r="B36" i="4"/>
  <c r="D29" i="4"/>
  <c r="C29" i="4"/>
  <c r="B29" i="4"/>
  <c r="D26" i="4"/>
  <c r="C26" i="4"/>
  <c r="B26" i="4"/>
  <c r="D22" i="4"/>
  <c r="C22" i="4"/>
  <c r="B22" i="4"/>
  <c r="D19" i="4"/>
  <c r="C19" i="4"/>
  <c r="B19" i="4"/>
  <c r="D16" i="4"/>
  <c r="C16" i="4"/>
  <c r="B16" i="4"/>
  <c r="D10" i="4"/>
  <c r="C10" i="4"/>
  <c r="B10" i="4"/>
  <c r="D5" i="4"/>
  <c r="C5" i="4"/>
  <c r="B5" i="4"/>
  <c r="B1" i="4"/>
  <c r="C1" i="4" s="1"/>
  <c r="D1" i="4" s="1"/>
  <c r="I172" i="8" l="1"/>
  <c r="I190" i="8" s="1"/>
  <c r="D172" i="8"/>
  <c r="D190" i="8" s="1"/>
  <c r="L172" i="8"/>
  <c r="L190" i="8" s="1"/>
  <c r="E172" i="8"/>
  <c r="E190" i="8" s="1"/>
  <c r="C37" i="4"/>
  <c r="D46" i="4"/>
  <c r="C44" i="4"/>
  <c r="C23" i="4"/>
  <c r="C32" i="4" s="1"/>
  <c r="B46" i="4"/>
  <c r="B12" i="4"/>
  <c r="B13" i="4" s="1"/>
  <c r="D12" i="4"/>
  <c r="D13" i="4" s="1"/>
  <c r="B44" i="4"/>
  <c r="C12" i="4"/>
  <c r="C13" i="4" s="1"/>
  <c r="B23" i="4"/>
  <c r="B32" i="4" s="1"/>
  <c r="D44" i="4"/>
  <c r="D23" i="4"/>
  <c r="D32" i="4" s="1"/>
  <c r="B30" i="4"/>
  <c r="D37" i="4"/>
  <c r="B37" i="4"/>
  <c r="B48" i="4" l="1"/>
  <c r="B50" i="4" s="1"/>
  <c r="D48" i="4"/>
  <c r="D50" i="4" s="1"/>
  <c r="D151" i="2" l="1"/>
  <c r="C151" i="2"/>
  <c r="B151" i="2"/>
  <c r="D149" i="2"/>
  <c r="C149" i="2"/>
  <c r="B149" i="2"/>
  <c r="D147" i="2"/>
  <c r="C147" i="2"/>
  <c r="B147" i="2"/>
  <c r="D145" i="2"/>
  <c r="C145" i="2"/>
  <c r="B145" i="2"/>
  <c r="D142" i="2"/>
  <c r="C142" i="2"/>
  <c r="B142" i="2"/>
  <c r="D141" i="2"/>
  <c r="C141" i="2"/>
  <c r="B141" i="2"/>
  <c r="D135" i="2"/>
  <c r="C135" i="2"/>
  <c r="B135" i="2"/>
  <c r="D131" i="2"/>
  <c r="C131" i="2"/>
  <c r="B131" i="2"/>
  <c r="D128" i="2"/>
  <c r="C128" i="2"/>
  <c r="B128" i="2"/>
  <c r="D127" i="2"/>
  <c r="C127" i="2"/>
  <c r="B127" i="2"/>
  <c r="D126" i="2"/>
  <c r="C126" i="2"/>
  <c r="B126" i="2"/>
  <c r="D122" i="2"/>
  <c r="C122" i="2"/>
  <c r="B122" i="2"/>
  <c r="D121" i="2"/>
  <c r="C121" i="2"/>
  <c r="B121" i="2"/>
  <c r="D120" i="2"/>
  <c r="C120" i="2"/>
  <c r="B120" i="2"/>
  <c r="D113" i="2"/>
  <c r="C113" i="2"/>
  <c r="B113" i="2"/>
  <c r="D111" i="2"/>
  <c r="C111" i="2"/>
  <c r="B111" i="2"/>
  <c r="D110" i="2"/>
  <c r="C110" i="2"/>
  <c r="B110" i="2"/>
  <c r="D106" i="2"/>
  <c r="C106" i="2"/>
  <c r="B106" i="2"/>
  <c r="D105" i="2"/>
  <c r="C105" i="2"/>
  <c r="B105" i="2"/>
  <c r="D96" i="2"/>
  <c r="C96" i="2"/>
  <c r="B96" i="2"/>
  <c r="D94" i="2"/>
  <c r="D93" i="2"/>
  <c r="C93" i="2"/>
  <c r="B93" i="2"/>
  <c r="D92" i="2"/>
  <c r="C92" i="2"/>
  <c r="B92" i="2"/>
  <c r="D91" i="2"/>
  <c r="C91" i="2"/>
  <c r="B91" i="2"/>
  <c r="D90" i="2"/>
  <c r="C90" i="2"/>
  <c r="B90" i="2"/>
  <c r="D86" i="2"/>
  <c r="C86" i="2"/>
  <c r="B86" i="2"/>
  <c r="D85" i="2"/>
  <c r="C85" i="2"/>
  <c r="B85" i="2"/>
  <c r="D84" i="2"/>
  <c r="C84" i="2"/>
  <c r="B84" i="2"/>
  <c r="D78" i="2"/>
  <c r="C78" i="2"/>
  <c r="B78" i="2"/>
  <c r="D75" i="2"/>
  <c r="C75" i="2"/>
  <c r="B75" i="2"/>
  <c r="D74" i="2"/>
  <c r="C74" i="2"/>
  <c r="B74" i="2"/>
  <c r="D70" i="2"/>
  <c r="C70" i="2"/>
  <c r="B70" i="2"/>
  <c r="D69" i="2"/>
  <c r="C69" i="2"/>
  <c r="B69" i="2"/>
  <c r="D66" i="2"/>
  <c r="C66" i="2"/>
  <c r="B66" i="2"/>
  <c r="D65" i="2"/>
  <c r="C65" i="2"/>
  <c r="B65" i="2"/>
  <c r="D63" i="2"/>
  <c r="C63" i="2"/>
  <c r="B63" i="2"/>
  <c r="D62" i="2"/>
  <c r="C62" i="2"/>
  <c r="B62" i="2"/>
  <c r="D39" i="2"/>
  <c r="C39" i="2"/>
  <c r="B39" i="2"/>
  <c r="D32" i="2"/>
  <c r="D34" i="2" s="1"/>
  <c r="C32" i="2"/>
  <c r="C34" i="2" s="1"/>
  <c r="B32" i="2"/>
  <c r="B34" i="2" s="1"/>
  <c r="D25" i="2"/>
  <c r="C25" i="2"/>
  <c r="B25" i="2"/>
  <c r="D9" i="2"/>
  <c r="C9" i="2"/>
  <c r="B9" i="2"/>
  <c r="C1" i="2"/>
  <c r="D1" i="2" s="1"/>
  <c r="C32" i="1"/>
  <c r="D32" i="1" s="1"/>
  <c r="D25" i="1"/>
  <c r="D27" i="1" s="1"/>
  <c r="C25" i="1"/>
  <c r="C27" i="1" s="1"/>
  <c r="B25" i="1"/>
  <c r="B27" i="1" s="1"/>
  <c r="D17" i="1"/>
  <c r="C17" i="1"/>
  <c r="B17" i="1"/>
  <c r="D11" i="1"/>
  <c r="D34" i="1" s="1"/>
  <c r="C11" i="1"/>
  <c r="B11" i="1"/>
  <c r="B34" i="1" s="1"/>
  <c r="D4" i="1"/>
  <c r="C4" i="1"/>
  <c r="C12" i="1" s="1"/>
  <c r="C18" i="1" s="1"/>
  <c r="C20" i="1" s="1"/>
  <c r="B4" i="1"/>
  <c r="B33" i="1" s="1"/>
  <c r="C1" i="1"/>
  <c r="D1" i="1" s="1"/>
  <c r="C34" i="1" l="1"/>
  <c r="D12" i="1"/>
  <c r="D18" i="1" s="1"/>
  <c r="D20" i="1" s="1"/>
  <c r="D28" i="1" s="1"/>
  <c r="D30" i="1" s="1"/>
  <c r="D112" i="2"/>
  <c r="C143" i="2"/>
  <c r="B107" i="2"/>
  <c r="D123" i="2"/>
  <c r="C129" i="2"/>
  <c r="C107" i="2"/>
  <c r="D143" i="2"/>
  <c r="D64" i="2"/>
  <c r="D71" i="2"/>
  <c r="B87" i="2"/>
  <c r="B71" i="2"/>
  <c r="C76" i="2"/>
  <c r="B112" i="2"/>
  <c r="B114" i="2" s="1"/>
  <c r="C64" i="2"/>
  <c r="D76" i="2"/>
  <c r="D80" i="2" s="1"/>
  <c r="C87" i="2"/>
  <c r="B143" i="2"/>
  <c r="B153" i="2" s="1"/>
  <c r="D107" i="2"/>
  <c r="D114" i="2"/>
  <c r="C123" i="2"/>
  <c r="B129" i="2"/>
  <c r="B64" i="2"/>
  <c r="B76" i="2"/>
  <c r="B80" i="2" s="1"/>
  <c r="D87" i="2"/>
  <c r="D98" i="2" s="1"/>
  <c r="B94" i="2"/>
  <c r="C112" i="2"/>
  <c r="C114" i="2" s="1"/>
  <c r="C116" i="2" s="1"/>
  <c r="C153" i="2"/>
  <c r="C94" i="2"/>
  <c r="C98" i="2" s="1"/>
  <c r="B123" i="2"/>
  <c r="B133" i="2" s="1"/>
  <c r="D129" i="2"/>
  <c r="D153" i="2"/>
  <c r="C71" i="2"/>
  <c r="B35" i="1"/>
  <c r="C28" i="1"/>
  <c r="C30" i="1" s="1"/>
  <c r="B12" i="1"/>
  <c r="B18" i="1" s="1"/>
  <c r="B20" i="1" s="1"/>
  <c r="B28" i="1" s="1"/>
  <c r="B30" i="1" s="1"/>
  <c r="D33" i="1"/>
  <c r="D35" i="1" s="1"/>
  <c r="C33" i="1"/>
  <c r="C35" i="1" s="1"/>
  <c r="C133" i="2" l="1"/>
  <c r="B116" i="2"/>
  <c r="B137" i="2" s="1"/>
  <c r="B155" i="2" s="1"/>
  <c r="D133" i="2"/>
  <c r="D116" i="2"/>
  <c r="B98" i="2"/>
  <c r="B100" i="2" s="1"/>
  <c r="C80" i="2"/>
  <c r="C100" i="2" s="1"/>
  <c r="C137" i="2"/>
  <c r="C155" i="2" s="1"/>
  <c r="D100" i="2"/>
  <c r="D137" i="2" l="1"/>
  <c r="D155" i="2" s="1"/>
  <c r="C46" i="4" l="1"/>
  <c r="C48" i="4" s="1"/>
  <c r="C50" i="4" s="1"/>
  <c r="B21" i="19"/>
  <c r="M5" i="30" l="1"/>
  <c r="N5" i="30"/>
  <c r="N8" i="30" s="1"/>
  <c r="O5" i="30"/>
  <c r="O8" i="30" s="1"/>
  <c r="M9" i="30" l="1"/>
  <c r="M15" i="30" s="1"/>
  <c r="M17" i="30" s="1"/>
  <c r="M8" i="30"/>
  <c r="R8" i="30" s="1"/>
  <c r="C9" i="30" s="1"/>
  <c r="N9" i="30"/>
  <c r="N15" i="30" s="1"/>
  <c r="N17" i="30" s="1"/>
  <c r="O9" i="30"/>
  <c r="O15" i="30" s="1"/>
  <c r="O17" i="30" s="1"/>
  <c r="C3" i="30" l="1"/>
  <c r="C8" i="30" s="1"/>
  <c r="C10" i="30" s="1"/>
  <c r="C12" i="30" l="1"/>
  <c r="E20" i="30" l="1"/>
  <c r="C13" i="30"/>
  <c r="B10" i="38"/>
  <c r="B12" i="38" s="1"/>
  <c r="B18" i="38"/>
  <c r="B19" i="38" s="1"/>
  <c r="B20" i="38" l="1"/>
  <c r="B22" i="38" s="1"/>
</calcChain>
</file>

<file path=xl/sharedStrings.xml><?xml version="1.0" encoding="utf-8"?>
<sst xmlns="http://schemas.openxmlformats.org/spreadsheetml/2006/main" count="1422" uniqueCount="403">
  <si>
    <t>מכירות מקומית</t>
  </si>
  <si>
    <t>מכירות יצוא</t>
  </si>
  <si>
    <t>סה"כ מחזור מכירות</t>
  </si>
  <si>
    <t>תצרוכת חומרי גלם</t>
  </si>
  <si>
    <t>שכר עבודה</t>
  </si>
  <si>
    <t>שינוי מלאי</t>
  </si>
  <si>
    <t>פחת</t>
  </si>
  <si>
    <t>עבודות חוץ</t>
  </si>
  <si>
    <t>עלות מכירות אחרת</t>
  </si>
  <si>
    <t>סה"כ עלות המכירות</t>
  </si>
  <si>
    <t>רווח גולמי</t>
  </si>
  <si>
    <t>הוצאות תפעול אחרות</t>
  </si>
  <si>
    <t>מו"פ</t>
  </si>
  <si>
    <t>הוצאות מכירה</t>
  </si>
  <si>
    <t>הנהלה וכלליות</t>
  </si>
  <si>
    <t>סה"כ הוצאות תפעול אחרות</t>
  </si>
  <si>
    <t>רווח תפעולי</t>
  </si>
  <si>
    <t>הוצאות מימון</t>
  </si>
  <si>
    <t>רווח נטו לפני הכנסות אחרות</t>
  </si>
  <si>
    <t>הכנסות אחרות</t>
  </si>
  <si>
    <t>הכנסות אחר</t>
  </si>
  <si>
    <t>הכנסות ממימוש</t>
  </si>
  <si>
    <t>הכנסות אחרות אחר</t>
  </si>
  <si>
    <t>סה"כ הכנסות אחרות</t>
  </si>
  <si>
    <t>חלקה בכלולות</t>
  </si>
  <si>
    <t>סה"כ הכנסות מיוחדות ואחרות לפני מס</t>
  </si>
  <si>
    <t>רווח לפני מס</t>
  </si>
  <si>
    <t>מיסים</t>
  </si>
  <si>
    <t>רווח נקי</t>
  </si>
  <si>
    <t>דוחות רווח ו/או הפסד לתקופה שהסתיימה ביום 31 בדצמבר,</t>
  </si>
  <si>
    <t>YtY</t>
  </si>
  <si>
    <t>מאזן ליום ה- 31 בדצמבר,</t>
  </si>
  <si>
    <t>נכסים</t>
  </si>
  <si>
    <t>רכוש שוטף</t>
  </si>
  <si>
    <t>נזילות</t>
  </si>
  <si>
    <t>מזומנים</t>
  </si>
  <si>
    <t>בטוחות סחירות</t>
  </si>
  <si>
    <t>מזומנים ובטוחות סחירות</t>
  </si>
  <si>
    <t>הלוואות לזמן קצר</t>
  </si>
  <si>
    <t>חייבים נטו</t>
  </si>
  <si>
    <t>לקוחות</t>
  </si>
  <si>
    <t>חייבים</t>
  </si>
  <si>
    <t>מלאי</t>
  </si>
  <si>
    <t>מלאי תוצרת ותהליך</t>
  </si>
  <si>
    <t>מלאי ח"ג + אחר</t>
  </si>
  <si>
    <t>רכוש שוטף אחר</t>
  </si>
  <si>
    <t>השקעות</t>
  </si>
  <si>
    <t>רכוש קבוע</t>
  </si>
  <si>
    <t>ציוד נטו</t>
  </si>
  <si>
    <t>קרקע ומבנים נטו</t>
  </si>
  <si>
    <t>רכוש קבוע אחר</t>
  </si>
  <si>
    <t>השקעות אחרות</t>
  </si>
  <si>
    <t>השקעות בבנות ומסונפות</t>
  </si>
  <si>
    <t>השקעות בבטוחות</t>
  </si>
  <si>
    <t>השקעות במקרקעין</t>
  </si>
  <si>
    <t>נכסים אחרים</t>
  </si>
  <si>
    <t>סה"כ השקעות</t>
  </si>
  <si>
    <t>התחייבויות</t>
  </si>
  <si>
    <t>התחייבויות שוטפות</t>
  </si>
  <si>
    <t>אשראי לזמן קצר</t>
  </si>
  <si>
    <t>אשראי מבנקים</t>
  </si>
  <si>
    <t>חלויות שוטפות</t>
  </si>
  <si>
    <t>בנקים וחלויות שוטפות</t>
  </si>
  <si>
    <t>זכאים נטו</t>
  </si>
  <si>
    <t>ספקים</t>
  </si>
  <si>
    <t>זכאים</t>
  </si>
  <si>
    <t>סה"כ זכאים</t>
  </si>
  <si>
    <t>התחייבות שוטפת אחרת</t>
  </si>
  <si>
    <t>התחייבויות לזמן ארוך</t>
  </si>
  <si>
    <t>אשראי לזמן ארוך</t>
  </si>
  <si>
    <t>אגרות חוב להמרה</t>
  </si>
  <si>
    <t>אגרות חוב</t>
  </si>
  <si>
    <t>הלוואות לז"א</t>
  </si>
  <si>
    <t>עתודות</t>
  </si>
  <si>
    <t>עתודה למיסים</t>
  </si>
  <si>
    <t>עתודה ליחסי עובד מעביד</t>
  </si>
  <si>
    <t>עתודות אחרות</t>
  </si>
  <si>
    <t>סה"כ עתודות</t>
  </si>
  <si>
    <t>התחייבויות אחרות לזמן ארוך</t>
  </si>
  <si>
    <t>סה"כ התחייבות זמן ארוך</t>
  </si>
  <si>
    <t>התחיבות אחרת</t>
  </si>
  <si>
    <t>התחיבויות ללא הון עצמי</t>
  </si>
  <si>
    <t>הון עצמי</t>
  </si>
  <si>
    <t>הון מניות וקרנות</t>
  </si>
  <si>
    <t>הון מניות</t>
  </si>
  <si>
    <t>קרנות הון</t>
  </si>
  <si>
    <t>פרמיות</t>
  </si>
  <si>
    <t>עודפים</t>
  </si>
  <si>
    <t>הון אחר</t>
  </si>
  <si>
    <t>זכויות מיעוט</t>
  </si>
  <si>
    <t>סה"כ מאזן</t>
  </si>
  <si>
    <t>תזרים מזומנים לתקופה שהסתיימה ביום ה- 31 בדצמבר,</t>
  </si>
  <si>
    <t>אחרות שאינן כרוכות</t>
  </si>
  <si>
    <t>סה"כ הכנסות שאינן כרוכות בזרימה</t>
  </si>
  <si>
    <t>עליה בלקוחות</t>
  </si>
  <si>
    <t>עליה במלאי</t>
  </si>
  <si>
    <t>עליה בספקים</t>
  </si>
  <si>
    <t>עליה בזכאים</t>
  </si>
  <si>
    <t>סה"כ שינויים בהון החוזר</t>
  </si>
  <si>
    <t>התאמות אחר</t>
  </si>
  <si>
    <t>סה"כ התאמות נדרשות לתזרים</t>
  </si>
  <si>
    <t>סה"כ תזרים מזומנים מפעילות שוטפת</t>
  </si>
  <si>
    <t>קניית בטוחות סחירות</t>
  </si>
  <si>
    <t>מכירת בטוחות סחירות</t>
  </si>
  <si>
    <t>השקעה נטו בבטוחות סחירות</t>
  </si>
  <si>
    <t>מתן הלוואות לזמן קצר</t>
  </si>
  <si>
    <t>גביית הלוואות לזמן קצר</t>
  </si>
  <si>
    <t>השקעה נטו בהלוואות זמן קצר</t>
  </si>
  <si>
    <t>מתן הלוואות לזמן ארוך</t>
  </si>
  <si>
    <t>גביית הלוואות לזמן ארוך</t>
  </si>
  <si>
    <t>השקעה נטו בהלוואות זמן ארוך</t>
  </si>
  <si>
    <t>סה"כ השקעה בניירות ערך והלוואות</t>
  </si>
  <si>
    <t>רכישת רכוש קבוע</t>
  </si>
  <si>
    <t>מימוש רכוש קבוע</t>
  </si>
  <si>
    <t>השקעה ברכוש קבוע נטו</t>
  </si>
  <si>
    <t>רכישת חברות בנות</t>
  </si>
  <si>
    <t>מימוש חברות בנות</t>
  </si>
  <si>
    <t>השקעה בבנות ומאוחדות</t>
  </si>
  <si>
    <t>סה"כ השקעה בחברות ברכוש קבוע</t>
  </si>
  <si>
    <t>תזרים מהשקעה אחר</t>
  </si>
  <si>
    <t>סה"כ תזרים מזומנים מפעילות השקעה</t>
  </si>
  <si>
    <t>דיבידנד שחולק</t>
  </si>
  <si>
    <t>הנפקת אג"ח</t>
  </si>
  <si>
    <t>פדיון אג"ח</t>
  </si>
  <si>
    <t>הנפקת אג"ח נטו</t>
  </si>
  <si>
    <t>הנפקת הון  ואג"ח נטו</t>
  </si>
  <si>
    <t>מימון ממקורות זרים מתאגידים בנקאים</t>
  </si>
  <si>
    <t>נטילת אשראי לזמן קצר</t>
  </si>
  <si>
    <t>פדיון אשראי לזמן קצר</t>
  </si>
  <si>
    <t>סה"כ אשראי לזמן קצר נטו</t>
  </si>
  <si>
    <t>נטילת אשראי לזמן ארוך</t>
  </si>
  <si>
    <t>פדיון אשראי לזמן ארוך</t>
  </si>
  <si>
    <t>סה"כ אשראי לזמן ארוך נטו</t>
  </si>
  <si>
    <t>תזרים ממימון אחר</t>
  </si>
  <si>
    <t>תזרים אחר</t>
  </si>
  <si>
    <t>שינוי ביתרת מזומן</t>
  </si>
  <si>
    <t>יתרת המזומנים תחילת שנה</t>
  </si>
  <si>
    <t>יתרת המזומנים סוף תקופה</t>
  </si>
  <si>
    <t>void</t>
  </si>
  <si>
    <t>יחס מהיר</t>
  </si>
  <si>
    <t>יחס שוטף</t>
  </si>
  <si>
    <t>מנוף פיננסי</t>
  </si>
  <si>
    <t>מכפיל הון</t>
  </si>
  <si>
    <t>מכפיל רווח</t>
  </si>
  <si>
    <t>מדדי תזרים מזומנים</t>
  </si>
  <si>
    <t>מדדי איתנות פיננסית</t>
  </si>
  <si>
    <t xml:space="preserve"> </t>
  </si>
  <si>
    <t>EBITDA</t>
  </si>
  <si>
    <t>מחזור מכירות</t>
  </si>
  <si>
    <t>הכנסות משרותים</t>
  </si>
  <si>
    <t>עלות המכירות</t>
  </si>
  <si>
    <t>רווח למניה</t>
  </si>
  <si>
    <t>תזרים מזומנים מפעילות שוטפת</t>
  </si>
  <si>
    <t>פעילות שאינה כרוכה בתזרים מזומנים</t>
  </si>
  <si>
    <t>שינויים בהון החוזר</t>
  </si>
  <si>
    <t>הלוואות לזמן ארוך</t>
  </si>
  <si>
    <t>השקעה בחברות ברכוש קבוע</t>
  </si>
  <si>
    <t>חברות בנות</t>
  </si>
  <si>
    <t>תזרים מזומנים מפעילות מימון</t>
  </si>
  <si>
    <t>מימון ממקורות עצמאיים</t>
  </si>
  <si>
    <t>אג"ח</t>
  </si>
  <si>
    <t>סה"כ תזרים מזומנים מפעילות מימון</t>
  </si>
  <si>
    <t>יחס נזילות מיידי</t>
  </si>
  <si>
    <t>נכסים שוטפים</t>
  </si>
  <si>
    <t>מדדי נזילות מיידית</t>
  </si>
  <si>
    <t>תזרים מפעילות שוטפת ביחס להכנסות</t>
  </si>
  <si>
    <t>סך נכסים</t>
  </si>
  <si>
    <t>EBITDA/סך נכסים</t>
  </si>
  <si>
    <t>תזרים מפעילות שוטפת ביחס להון העצמי</t>
  </si>
  <si>
    <t xml:space="preserve"> תזרים מזומנים מפעילות שוטפת</t>
  </si>
  <si>
    <t xml:space="preserve">  מכירות</t>
  </si>
  <si>
    <t>הון עצמי מהמאזן</t>
  </si>
  <si>
    <t>סך ההתחייבויות</t>
  </si>
  <si>
    <t>התחייבויות מהמאזן</t>
  </si>
  <si>
    <t xml:space="preserve"> הון זר פיננסי</t>
  </si>
  <si>
    <t>יחס הלוואות</t>
  </si>
  <si>
    <t>מדדי רווחיות</t>
  </si>
  <si>
    <t>% רווח גולמי</t>
  </si>
  <si>
    <t>% רווח תפעולי</t>
  </si>
  <si>
    <t>% רווח נקי</t>
  </si>
  <si>
    <t>שיעור הוצאות המימון מההכנסות</t>
  </si>
  <si>
    <t>הוצאות מכירה, הנהלה וכלליות</t>
  </si>
  <si>
    <t>%הוצאות הנהלה וכלליות ומו"פ</t>
  </si>
  <si>
    <t>תשואה על ההון (ROE)</t>
  </si>
  <si>
    <t>תשואה על הנכסים (ROA)</t>
  </si>
  <si>
    <t>מדדי יעילות תפעולית</t>
  </si>
  <si>
    <t>יתרת לקוחות תחילת שנה</t>
  </si>
  <si>
    <t>יתרת לקוחות סוף שנה</t>
  </si>
  <si>
    <t>יתרת לקוחות ממוצעת</t>
  </si>
  <si>
    <t>יתרת מלאי תחילת שנה</t>
  </si>
  <si>
    <t>יתרת מלאי סוף שנה</t>
  </si>
  <si>
    <t>יתרת מלאי ממוצעת</t>
  </si>
  <si>
    <t>עלות המכר</t>
  </si>
  <si>
    <t>ימי מלאי</t>
  </si>
  <si>
    <t>יתרת ספקים תחילת שנה</t>
  </si>
  <si>
    <t>יתרת ספקים סוף שנה</t>
  </si>
  <si>
    <t>יתרת ספקים ממוצעת</t>
  </si>
  <si>
    <t>ימי ספקים</t>
  </si>
  <si>
    <t xml:space="preserve">ימי אשראי לקוחות </t>
  </si>
  <si>
    <t>ימי אשראי נטו</t>
  </si>
  <si>
    <t>2017-TTM</t>
  </si>
  <si>
    <t>מדדי יחסי שוק</t>
  </si>
  <si>
    <t>שווי שוק</t>
  </si>
  <si>
    <t xml:space="preserve">43,660
</t>
  </si>
  <si>
    <t>EV</t>
  </si>
  <si>
    <t>EV/EBITDA</t>
  </si>
  <si>
    <t>EBITDA/EV</t>
  </si>
  <si>
    <t>ROIC CF/EV</t>
  </si>
  <si>
    <t>FCF</t>
  </si>
  <si>
    <t>-</t>
  </si>
  <si>
    <t>מזומנים, בטוחות סחירות והלוואות</t>
  </si>
  <si>
    <t>TTM</t>
  </si>
  <si>
    <t>שער</t>
  </si>
  <si>
    <t>Z = 1.2X1 + 1.4X2 + 3.3X3 + 0.6X4 + X5</t>
  </si>
  <si>
    <t xml:space="preserve">התחיבויות </t>
  </si>
  <si>
    <t>שווי שוק היסטורי</t>
  </si>
  <si>
    <t>הון חוזר</t>
  </si>
  <si>
    <t>רווח תפעולי ללא שינויים חד פעמיים</t>
  </si>
  <si>
    <t>X1-הון חוזר/כלל הנכסים</t>
  </si>
  <si>
    <t>X2-יתרת רווח שלא יועדה/סך הנכסים</t>
  </si>
  <si>
    <t>X3-רווח לפני הוצאות ריבית ומס/כלל הנכסים</t>
  </si>
  <si>
    <t>X4-שווי שוק/שווי התחייבויות בספרים</t>
  </si>
  <si>
    <t>X5-מכירות/סך הנכסים</t>
  </si>
  <si>
    <t>דירוג מקומי - טווח ארוך</t>
  </si>
  <si>
    <t>תאריך</t>
  </si>
  <si>
    <t>דירוג</t>
  </si>
  <si>
    <t>ilBBB/Stable 2016 ,26 מאי</t>
  </si>
  <si>
    <t>ilBBB/Stable</t>
  </si>
  <si>
    <t>ilBBB+/Watch Neg 2015 ,31 דצמבר</t>
  </si>
  <si>
    <t xml:space="preserve">ilBBB+/Watch Neg </t>
  </si>
  <si>
    <t>ilBBB+ /Positive</t>
  </si>
  <si>
    <t>הכנסות</t>
  </si>
  <si>
    <t>ייצור ומיגוון צינורות פלדה</t>
  </si>
  <si>
    <t>גילוון</t>
  </si>
  <si>
    <t>ייצור ושיווק צינורות פלסטיק</t>
  </si>
  <si>
    <t>סה"כ הכנסות</t>
  </si>
  <si>
    <t>ייצור צנרת פלסטיק</t>
  </si>
  <si>
    <t>ניקוי וצביעה של מוצרי מתכת</t>
  </si>
  <si>
    <t>פעילות קבלנית תשתיות מים וביוב</t>
  </si>
  <si>
    <t>סה"כ</t>
  </si>
  <si>
    <t>אברות</t>
  </si>
  <si>
    <t>רווח תפעולי כולל אחרות</t>
  </si>
  <si>
    <t>רווחיות צמה"ת</t>
  </si>
  <si>
    <t>הכנסות מכל מגזרי הפעילות</t>
  </si>
  <si>
    <t>צמיחה YoY</t>
  </si>
  <si>
    <t>שיעור ההכנסות של אברות מכלל הפעילות</t>
  </si>
  <si>
    <t>ממוצע</t>
  </si>
  <si>
    <t xml:space="preserve"> YoY%שינוי</t>
  </si>
  <si>
    <t>ציפוי ועטיפת צנרת פלדה</t>
  </si>
  <si>
    <t>רווחיות  אברות</t>
  </si>
  <si>
    <t>הכנסות אברות</t>
  </si>
  <si>
    <t>צמיחה ממוצעת:</t>
  </si>
  <si>
    <t>תחום פעילות/שנת הדוח</t>
  </si>
  <si>
    <t>חברה</t>
  </si>
  <si>
    <t>הכנסות צמה"ת</t>
  </si>
  <si>
    <t xml:space="preserve"> רווחיות אברות</t>
  </si>
  <si>
    <t>שיעור רווח תפעולי ממוצע</t>
  </si>
  <si>
    <t>שיעור רווח תפעולי אברות</t>
  </si>
  <si>
    <t>שיעור רווח תפעולי צמה"ת</t>
  </si>
  <si>
    <t>צמיחה</t>
  </si>
  <si>
    <t>שיעור רווח תפעולי</t>
  </si>
  <si>
    <t>2017 - YTD 2Q</t>
  </si>
  <si>
    <t>רווח תפעולי לאחר מס</t>
  </si>
  <si>
    <t>תזרים חופשי מפעילות</t>
  </si>
  <si>
    <t>שיעור מס</t>
  </si>
  <si>
    <t>12/16</t>
  </si>
  <si>
    <t>12/15</t>
  </si>
  <si>
    <t>12/14</t>
  </si>
  <si>
    <t>12/13</t>
  </si>
  <si>
    <t>12/12</t>
  </si>
  <si>
    <t>12/11</t>
  </si>
  <si>
    <t>12/10</t>
  </si>
  <si>
    <t>12/09</t>
  </si>
  <si>
    <t>12/08</t>
  </si>
  <si>
    <t>12/07</t>
  </si>
  <si>
    <t>12/06 ^[img=mz_arrow_down_]</t>
  </si>
  <si>
    <t>12/05</t>
  </si>
  <si>
    <t>12/04</t>
  </si>
  <si>
    <t>12/03</t>
  </si>
  <si>
    <t>12/02</t>
  </si>
  <si>
    <t>12/01</t>
  </si>
  <si>
    <t>12/00</t>
  </si>
  <si>
    <t>12/99</t>
  </si>
  <si>
    <t>12/98</t>
  </si>
  <si>
    <t>12/97</t>
  </si>
  <si>
    <t>12/96</t>
  </si>
  <si>
    <t>12/95</t>
  </si>
  <si>
    <t>12/94</t>
  </si>
  <si>
    <t>12/93</t>
  </si>
  <si>
    <t>שיעור מההכנסות</t>
  </si>
  <si>
    <t>סה"כ פחת ללא שינויים חד פעמיים</t>
  </si>
  <si>
    <t>% מההכנסות</t>
  </si>
  <si>
    <t>%הון חוזר</t>
  </si>
  <si>
    <t>שנים לחישוב פחת</t>
  </si>
  <si>
    <t>WACC</t>
  </si>
  <si>
    <t>שווי פעילות</t>
  </si>
  <si>
    <t>חוב פיננסי נטו</t>
  </si>
  <si>
    <t xml:space="preserve">מחיר מניה ב-₪ </t>
  </si>
  <si>
    <t>שיעור אפסייד/(דיסקאונט)</t>
  </si>
  <si>
    <t xml:space="preserve">שווי שוק במ' ₪ </t>
  </si>
  <si>
    <t>שווי למניה מרכישות עתידיות ב-₪</t>
  </si>
  <si>
    <t>   תקופה   </t>
  </si>
  <si>
    <t>בסוף התקופה , סך הכל , חודש, נתונים מקוריים, אלפים</t>
  </si>
  <si>
    <t>2011-12</t>
  </si>
  <si>
    <t>2012-12</t>
  </si>
  <si>
    <t>2013-12</t>
  </si>
  <si>
    <t>2014-12</t>
  </si>
  <si>
    <t>2015-12</t>
  </si>
  <si>
    <t>2016-12</t>
  </si>
  <si>
    <t>שנה</t>
  </si>
  <si>
    <t>שיעור השינוי בתמ"ג</t>
  </si>
  <si>
    <t>שיעור גידול שנתי באוכלוסיה בסוף התקופה</t>
  </si>
  <si>
    <t>צינורות מזרח התיכון</t>
  </si>
  <si>
    <t>צמיחה בשילוב ההככנסות של אברות וצמה"ת</t>
  </si>
  <si>
    <t>2017 Q2</t>
  </si>
  <si>
    <t>תזרים להיוון</t>
  </si>
  <si>
    <t>E</t>
  </si>
  <si>
    <t>פרמטר</t>
  </si>
  <si>
    <t>ערך</t>
  </si>
  <si>
    <t>D</t>
  </si>
  <si>
    <t>Re</t>
  </si>
  <si>
    <t>Rf</t>
  </si>
  <si>
    <t xml:space="preserve">ריבית שקלית חסרת סיכון ל10 שנים מתואמת. (מבוססת על ממשלתי שקלי 0327)
</t>
  </si>
  <si>
    <t>הערות</t>
  </si>
  <si>
    <t>Steel</t>
  </si>
  <si>
    <t>Industry Name</t>
  </si>
  <si>
    <t>Number of Firms</t>
  </si>
  <si>
    <t>Beta</t>
  </si>
  <si>
    <t>Cost of Equity</t>
  </si>
  <si>
    <t>E/(D+E)</t>
  </si>
  <si>
    <t>Cost of Debt</t>
  </si>
  <si>
    <t>Tax Rate</t>
  </si>
  <si>
    <t>After-tax Cost of Debt</t>
  </si>
  <si>
    <t>D/(D+E)</t>
  </si>
  <si>
    <t>Cost of Capital</t>
  </si>
  <si>
    <t>D/(E+D)</t>
  </si>
  <si>
    <t>E/</t>
  </si>
  <si>
    <t>B</t>
  </si>
  <si>
    <t>שיעור מינוף</t>
  </si>
  <si>
    <t>Rm</t>
  </si>
  <si>
    <t>http://pages.stern.nyu.edu/~adamodar/New_Home_Page/datafile/ctryprem.html</t>
  </si>
  <si>
    <t>RE</t>
  </si>
  <si>
    <t>תשואה לפידיון</t>
  </si>
  <si>
    <t>עלות החוב</t>
  </si>
  <si>
    <t>ריבית חסרת סיכון</t>
  </si>
  <si>
    <t>שווי שוק נכון ל2/11/2017</t>
  </si>
  <si>
    <t>חלויות שוטפות ללא אג"ח</t>
  </si>
  <si>
    <t>התחייביות ז"א ללא אג"ח והטבות עובדים</t>
  </si>
  <si>
    <t>שווי שוק אג"ח</t>
  </si>
  <si>
    <t>נלקח מהדוחות הכספיים של רבעון 2 2017</t>
  </si>
  <si>
    <t>לא ממונפת</t>
  </si>
  <si>
    <t>D/E -שיעור מינוף</t>
  </si>
  <si>
    <t>Beta ממונפת</t>
  </si>
  <si>
    <t xml:space="preserve"> http://pages.stern.nyu.edu/~adamodar/New_Home_Page/datafile/ctryprem.html</t>
  </si>
  <si>
    <t>Rm (נלקח מדמודרן)</t>
  </si>
  <si>
    <t xml:space="preserve">ערך </t>
  </si>
  <si>
    <t>תשואה לפידיון אברות אגח ד'</t>
  </si>
  <si>
    <t>ממשלתי שקלי 0122</t>
  </si>
  <si>
    <t>מרווח ממשלתי</t>
  </si>
  <si>
    <t>מתואם ל10 שנים</t>
  </si>
  <si>
    <t>RD</t>
  </si>
  <si>
    <t>תשואה לפידיון נכון ל2/11/17</t>
  </si>
  <si>
    <t>WACC סופי</t>
  </si>
  <si>
    <t>מזומנים והשקעות</t>
  </si>
  <si>
    <t>חוב פיננסי</t>
  </si>
  <si>
    <t>כמות המניות</t>
  </si>
  <si>
    <t>סיכון ספציפי</t>
  </si>
  <si>
    <t>ירידת ערך בתחום הפעילות של תחזוקה של תשתיות מים וביוב</t>
  </si>
  <si>
    <t>מס</t>
  </si>
  <si>
    <t>מוצרי הפלסטיק</t>
  </si>
  <si>
    <t>ניקוי וצביעה</t>
  </si>
  <si>
    <t>פעילות המים</t>
  </si>
  <si>
    <t>צנרת פלדה</t>
  </si>
  <si>
    <t>חציון ראשון</t>
  </si>
  <si>
    <t>חציון שני</t>
  </si>
  <si>
    <t>הכנסות חציון ראשון</t>
  </si>
  <si>
    <t>הערכת חציון שני</t>
  </si>
  <si>
    <t>Q2</t>
  </si>
  <si>
    <t>Q1</t>
  </si>
  <si>
    <t>Q4</t>
  </si>
  <si>
    <t>Q3</t>
  </si>
  <si>
    <t>מכירות</t>
  </si>
  <si>
    <t>הפרש בין היחס של חציון 2 לחציון 1</t>
  </si>
  <si>
    <t>צבר הזמנות הצפוי ביחס למכירות בפועל בחציון האחרון של שנות הדוח</t>
  </si>
  <si>
    <t>הכנסה צפויה לחציון השני של שנת 2017</t>
  </si>
  <si>
    <t>מגזר פעילות/שנת הדוח</t>
  </si>
  <si>
    <t>צבר הזמנות לחציון השני</t>
  </si>
  <si>
    <t>ממוצע משוקלל</t>
  </si>
  <si>
    <t>צמיחה אורגנית ללא פעילות המים</t>
  </si>
  <si>
    <t>מועד הדוח</t>
  </si>
  <si>
    <t xml:space="preserve">ציפוי ועטיפת צנרת </t>
  </si>
  <si>
    <t>% מכלל ההכנסות</t>
  </si>
  <si>
    <t>רוח גולמי%</t>
  </si>
  <si>
    <t>רווח תפעולי%</t>
  </si>
  <si>
    <t>עולת המכר</t>
  </si>
  <si>
    <t>מיסים נדחים</t>
  </si>
  <si>
    <t>סה"כ הון עצמי</t>
  </si>
  <si>
    <t>מייצגת</t>
  </si>
  <si>
    <t>ההכנסות מפעילות קבלנית של תשתיות מים וביוב</t>
  </si>
  <si>
    <t xml:space="preserve"> A4:E16 </t>
  </si>
  <si>
    <t>סה"כ השקעה נדרשת לשמירה על הקיים</t>
  </si>
  <si>
    <t xml:space="preserve">באלפי ₪ </t>
  </si>
  <si>
    <t>נלקח שווי השוק בשל החובות הגדולים של החברה.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</si>
</sst>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 * #,##0.00_ ;_ * \-#,##0.00_ ;_ * &quot;-&quot;??_ ;_ @_ "/>
    <numFmt numFmtId="164" formatCode="#,##0_ ;[Red]\(#,###\)"/>
    <numFmt numFmtId="165" formatCode="0.0%"/>
    <numFmt numFmtId="166" formatCode="#,##0_ ;[Red]\(#,##0\)"/>
    <numFmt numFmtId="167" formatCode="#,##0.00_ ;[Red]\(#,##0.00\)"/>
    <numFmt numFmtId="168" formatCode="0.00;[Red]0.00"/>
    <numFmt numFmtId="169" formatCode="#,##0.0000_ ;[Red]\-#,##0.0000\ "/>
    <numFmt numFmtId="170" formatCode="0.0"/>
    <numFmt numFmtId="171" formatCode="_ * #,##0_ ;_ * \-#,##0_ ;_ * &quot;-&quot;??_ ;_ @_ "/>
    <numFmt numFmtId="172" formatCode="#,##0.0"/>
    <numFmt numFmtId="173" formatCode="0.000%"/>
    <numFmt numFmtId="174" formatCode="_ * #,##0.0_ ;_ * \-#,##0.0_ ;_ * &quot;-&quot;??_ ;_ @_ "/>
  </numFmts>
  <fonts count="42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b/>
      <i/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color theme="1"/>
      <name val="David"/>
      <family val="2"/>
    </font>
    <font>
      <b/>
      <i/>
      <sz val="12"/>
      <color indexed="8"/>
      <name val="David"/>
      <family val="2"/>
    </font>
    <font>
      <b/>
      <sz val="12"/>
      <color indexed="8"/>
      <name val="David"/>
      <family val="2"/>
    </font>
    <font>
      <b/>
      <sz val="12"/>
      <color indexed="8"/>
      <name val="Arial"/>
      <family val="2"/>
    </font>
    <font>
      <b/>
      <sz val="11"/>
      <color theme="1"/>
      <name val="Arial"/>
      <family val="2"/>
      <charset val="177"/>
      <scheme val="minor"/>
    </font>
    <font>
      <b/>
      <sz val="12"/>
      <color theme="1"/>
      <name val="David"/>
      <family val="2"/>
    </font>
    <font>
      <sz val="12"/>
      <color indexed="8"/>
      <name val="David"/>
      <family val="2"/>
    </font>
    <font>
      <i/>
      <sz val="12"/>
      <color indexed="8"/>
      <name val="David"/>
      <family val="2"/>
    </font>
    <font>
      <b/>
      <sz val="12"/>
      <color theme="1"/>
      <name val="David"/>
      <family val="2"/>
      <charset val="177"/>
    </font>
    <font>
      <b/>
      <sz val="12"/>
      <color indexed="8"/>
      <name val="David"/>
      <family val="2"/>
      <charset val="177"/>
    </font>
    <font>
      <b/>
      <i/>
      <sz val="11"/>
      <color rgb="FFFF0000"/>
      <name val="Arial"/>
      <family val="2"/>
    </font>
    <font>
      <sz val="10.5"/>
      <color rgb="FF222222"/>
      <name val="Arial"/>
      <family val="2"/>
      <scheme val="minor"/>
    </font>
    <font>
      <sz val="12"/>
      <color rgb="FF000000"/>
      <name val="David"/>
      <family val="2"/>
    </font>
    <font>
      <sz val="10"/>
      <color theme="1"/>
      <name val="Arial"/>
      <family val="2"/>
    </font>
    <font>
      <sz val="11"/>
      <color theme="1"/>
      <name val="David"/>
      <family val="2"/>
    </font>
    <font>
      <b/>
      <sz val="12"/>
      <color rgb="FF000000"/>
      <name val="David"/>
      <family val="2"/>
    </font>
    <font>
      <i/>
      <sz val="12"/>
      <color theme="4"/>
      <name val="David"/>
      <family val="2"/>
    </font>
    <font>
      <b/>
      <sz val="11"/>
      <color theme="1"/>
      <name val="David"/>
      <family val="2"/>
    </font>
    <font>
      <b/>
      <sz val="12"/>
      <name val="David"/>
      <family val="2"/>
    </font>
    <font>
      <sz val="10"/>
      <color theme="1"/>
      <name val="Calibri"/>
      <family val="2"/>
    </font>
    <font>
      <sz val="12"/>
      <name val="David"/>
      <family val="2"/>
    </font>
    <font>
      <u/>
      <sz val="11"/>
      <color theme="10"/>
      <name val="Arial"/>
      <family val="2"/>
      <scheme val="minor"/>
    </font>
    <font>
      <b/>
      <i/>
      <sz val="10"/>
      <name val="Arial"/>
      <family val="2"/>
      <scheme val="minor"/>
    </font>
    <font>
      <b/>
      <i/>
      <sz val="9"/>
      <name val="Geneva"/>
    </font>
    <font>
      <sz val="9"/>
      <name val="Geneva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6"/>
      <color theme="1"/>
      <name val="David"/>
      <family val="2"/>
    </font>
    <font>
      <sz val="16"/>
      <color theme="1"/>
      <name val="David"/>
      <family val="2"/>
    </font>
    <font>
      <b/>
      <sz val="12"/>
      <color theme="4" tint="-0.249977111117893"/>
      <name val="David"/>
      <family val="2"/>
    </font>
    <font>
      <b/>
      <i/>
      <sz val="12"/>
      <color theme="4" tint="-0.249977111117893"/>
      <name val="David"/>
      <family val="2"/>
    </font>
    <font>
      <b/>
      <sz val="12"/>
      <color rgb="FF00B050"/>
      <name val="David"/>
      <family val="2"/>
    </font>
    <font>
      <b/>
      <sz val="12"/>
      <color rgb="FFFF0000"/>
      <name val="David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0" fillId="0" borderId="0" applyNumberFormat="0" applyFill="0" applyBorder="0" applyAlignment="0" applyProtection="0"/>
  </cellStyleXfs>
  <cellXfs count="481">
    <xf numFmtId="0" fontId="0" fillId="0" borderId="0" xfId="0"/>
    <xf numFmtId="0" fontId="0" fillId="2" borderId="1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Protection="1">
      <protection locked="0"/>
    </xf>
    <xf numFmtId="164" fontId="0" fillId="2" borderId="1" xfId="0" applyNumberFormat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164" fontId="2" fillId="2" borderId="1" xfId="0" applyNumberFormat="1" applyFont="1" applyFill="1" applyBorder="1" applyProtection="1">
      <protection locked="0"/>
    </xf>
    <xf numFmtId="0" fontId="0" fillId="0" borderId="0" xfId="0" applyProtection="1">
      <protection locked="0"/>
    </xf>
    <xf numFmtId="165" fontId="0" fillId="2" borderId="1" xfId="1" applyNumberFormat="1" applyFont="1" applyFill="1" applyBorder="1" applyProtection="1">
      <protection locked="0"/>
    </xf>
    <xf numFmtId="165" fontId="0" fillId="2" borderId="1" xfId="0" applyNumberFormat="1" applyFill="1" applyBorder="1" applyProtection="1">
      <protection locked="0"/>
    </xf>
    <xf numFmtId="165" fontId="2" fillId="2" borderId="1" xfId="0" applyNumberFormat="1" applyFont="1" applyFill="1" applyBorder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165" fontId="0" fillId="0" borderId="0" xfId="0" applyNumberFormat="1" applyProtection="1">
      <protection locked="0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166" fontId="0" fillId="0" borderId="0" xfId="0" applyNumberFormat="1"/>
    <xf numFmtId="166" fontId="5" fillId="0" borderId="0" xfId="0" applyNumberFormat="1" applyFont="1"/>
    <xf numFmtId="165" fontId="0" fillId="0" borderId="0" xfId="0" applyNumberFormat="1"/>
    <xf numFmtId="165" fontId="0" fillId="0" borderId="2" xfId="0" applyNumberFormat="1" applyBorder="1"/>
    <xf numFmtId="165" fontId="5" fillId="0" borderId="3" xfId="0" applyNumberFormat="1" applyFont="1" applyBorder="1"/>
    <xf numFmtId="165" fontId="5" fillId="0" borderId="0" xfId="0" applyNumberFormat="1" applyFont="1"/>
    <xf numFmtId="165" fontId="4" fillId="0" borderId="3" xfId="0" applyNumberFormat="1" applyFont="1" applyBorder="1"/>
    <xf numFmtId="165" fontId="3" fillId="0" borderId="3" xfId="0" applyNumberFormat="1" applyFont="1" applyBorder="1"/>
    <xf numFmtId="165" fontId="6" fillId="0" borderId="4" xfId="0" applyNumberFormat="1" applyFont="1" applyBorder="1"/>
    <xf numFmtId="0" fontId="0" fillId="0" borderId="1" xfId="0" applyBorder="1"/>
    <xf numFmtId="166" fontId="0" fillId="0" borderId="1" xfId="0" applyNumberFormat="1" applyBorder="1"/>
    <xf numFmtId="0" fontId="9" fillId="2" borderId="1" xfId="0" applyFont="1" applyFill="1" applyBorder="1" applyAlignment="1">
      <alignment horizontal="right" vertical="top"/>
    </xf>
    <xf numFmtId="0" fontId="9" fillId="2" borderId="1" xfId="0" applyFont="1" applyFill="1" applyBorder="1" applyAlignment="1">
      <alignment horizontal="center" vertical="top"/>
    </xf>
    <xf numFmtId="0" fontId="9" fillId="2" borderId="1" xfId="0" applyFont="1" applyFill="1" applyBorder="1"/>
    <xf numFmtId="166" fontId="9" fillId="2" borderId="1" xfId="0" applyNumberFormat="1" applyFont="1" applyFill="1" applyBorder="1"/>
    <xf numFmtId="0" fontId="10" fillId="2" borderId="1" xfId="0" applyFont="1" applyFill="1" applyBorder="1"/>
    <xf numFmtId="166" fontId="10" fillId="2" borderId="1" xfId="0" applyNumberFormat="1" applyFont="1" applyFill="1" applyBorder="1"/>
    <xf numFmtId="0" fontId="11" fillId="2" borderId="1" xfId="0" applyFont="1" applyFill="1" applyBorder="1"/>
    <xf numFmtId="166" fontId="11" fillId="2" borderId="1" xfId="0" applyNumberFormat="1" applyFont="1" applyFill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/>
    <xf numFmtId="166" fontId="8" fillId="0" borderId="1" xfId="0" applyNumberFormat="1" applyFont="1" applyBorder="1"/>
    <xf numFmtId="0" fontId="7" fillId="0" borderId="1" xfId="0" applyFont="1" applyBorder="1"/>
    <xf numFmtId="166" fontId="7" fillId="0" borderId="1" xfId="0" applyNumberFormat="1" applyFont="1" applyBorder="1"/>
    <xf numFmtId="0" fontId="8" fillId="0" borderId="1" xfId="0" applyFont="1" applyBorder="1" applyAlignment="1">
      <alignment horizontal="right"/>
    </xf>
    <xf numFmtId="0" fontId="12" fillId="0" borderId="1" xfId="0" applyFont="1" applyBorder="1"/>
    <xf numFmtId="166" fontId="12" fillId="0" borderId="1" xfId="0" applyNumberFormat="1" applyFont="1" applyBorder="1"/>
    <xf numFmtId="166" fontId="0" fillId="0" borderId="5" xfId="0" applyNumberFormat="1" applyFill="1" applyBorder="1"/>
    <xf numFmtId="164" fontId="0" fillId="0" borderId="0" xfId="0" applyNumberFormat="1"/>
    <xf numFmtId="14" fontId="0" fillId="0" borderId="2" xfId="0" applyNumberFormat="1" applyBorder="1" applyAlignment="1">
      <alignment horizontal="center" vertical="top"/>
    </xf>
    <xf numFmtId="166" fontId="0" fillId="0" borderId="2" xfId="0" applyNumberFormat="1" applyBorder="1"/>
    <xf numFmtId="166" fontId="5" fillId="0" borderId="3" xfId="0" applyNumberFormat="1" applyFont="1" applyBorder="1"/>
    <xf numFmtId="166" fontId="5" fillId="0" borderId="3" xfId="0" applyNumberFormat="1" applyFont="1" applyBorder="1" applyAlignment="1">
      <alignment horizontal="center"/>
    </xf>
    <xf numFmtId="166" fontId="4" fillId="0" borderId="3" xfId="0" applyNumberFormat="1" applyFont="1" applyBorder="1"/>
    <xf numFmtId="166" fontId="3" fillId="0" borderId="3" xfId="0" applyNumberFormat="1" applyFont="1" applyBorder="1"/>
    <xf numFmtId="0" fontId="0" fillId="0" borderId="0" xfId="0" applyAlignment="1" applyProtection="1">
      <alignment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64" fontId="0" fillId="0" borderId="0" xfId="0" applyNumberFormat="1" applyProtection="1">
      <protection locked="0"/>
    </xf>
    <xf numFmtId="164" fontId="0" fillId="0" borderId="6" xfId="0" applyNumberFormat="1" applyBorder="1" applyProtection="1"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 applyProtection="1">
      <protection locked="0"/>
    </xf>
    <xf numFmtId="164" fontId="0" fillId="0" borderId="2" xfId="0" applyNumberFormat="1" applyBorder="1" applyProtection="1">
      <protection locked="0"/>
    </xf>
    <xf numFmtId="164" fontId="0" fillId="0" borderId="4" xfId="0" applyNumberFormat="1" applyBorder="1" applyProtection="1">
      <protection locked="0"/>
    </xf>
    <xf numFmtId="164" fontId="2" fillId="0" borderId="7" xfId="0" applyNumberFormat="1" applyFont="1" applyBorder="1" applyProtection="1">
      <protection locked="0"/>
    </xf>
    <xf numFmtId="167" fontId="2" fillId="0" borderId="7" xfId="0" applyNumberFormat="1" applyFont="1" applyBorder="1" applyProtection="1">
      <protection locked="0"/>
    </xf>
    <xf numFmtId="165" fontId="0" fillId="0" borderId="0" xfId="1" applyNumberFormat="1" applyFont="1" applyProtection="1">
      <protection locked="0"/>
    </xf>
    <xf numFmtId="165" fontId="0" fillId="0" borderId="2" xfId="1" applyNumberFormat="1" applyFont="1" applyBorder="1" applyProtection="1">
      <protection locked="0"/>
    </xf>
    <xf numFmtId="165" fontId="0" fillId="0" borderId="2" xfId="0" applyNumberFormat="1" applyBorder="1" applyProtection="1">
      <protection locked="0"/>
    </xf>
    <xf numFmtId="165" fontId="2" fillId="0" borderId="0" xfId="0" applyNumberFormat="1" applyFont="1" applyProtection="1">
      <protection locked="0"/>
    </xf>
    <xf numFmtId="165" fontId="0" fillId="0" borderId="6" xfId="0" applyNumberFormat="1" applyBorder="1" applyProtection="1">
      <protection locked="0"/>
    </xf>
    <xf numFmtId="165" fontId="2" fillId="0" borderId="7" xfId="0" applyNumberFormat="1" applyFont="1" applyBorder="1" applyProtection="1">
      <protection locked="0"/>
    </xf>
    <xf numFmtId="0" fontId="0" fillId="0" borderId="0" xfId="0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right" vertical="top"/>
    </xf>
    <xf numFmtId="166" fontId="4" fillId="0" borderId="0" xfId="0" applyNumberFormat="1" applyFont="1"/>
    <xf numFmtId="166" fontId="0" fillId="0" borderId="0" xfId="0" applyNumberForma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166" fontId="3" fillId="0" borderId="4" xfId="0" applyNumberFormat="1" applyFont="1" applyBorder="1"/>
    <xf numFmtId="166" fontId="3" fillId="0" borderId="0" xfId="0" applyNumberFormat="1" applyFont="1"/>
    <xf numFmtId="9" fontId="0" fillId="0" borderId="0" xfId="1" applyFont="1"/>
    <xf numFmtId="0" fontId="7" fillId="0" borderId="0" xfId="0" applyFont="1"/>
    <xf numFmtId="0" fontId="0" fillId="0" borderId="0" xfId="0" applyAlignment="1">
      <alignment horizontal="center"/>
    </xf>
    <xf numFmtId="0" fontId="14" fillId="4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6" fontId="15" fillId="2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9" fontId="14" fillId="3" borderId="1" xfId="1" applyFont="1" applyFill="1" applyBorder="1" applyAlignment="1">
      <alignment horizontal="center"/>
    </xf>
    <xf numFmtId="166" fontId="16" fillId="2" borderId="1" xfId="0" applyNumberFormat="1" applyFont="1" applyFill="1" applyBorder="1" applyAlignment="1">
      <alignment horizontal="center"/>
    </xf>
    <xf numFmtId="166" fontId="9" fillId="2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166" fontId="14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166" fontId="18" fillId="2" borderId="1" xfId="0" applyNumberFormat="1" applyFont="1" applyFill="1" applyBorder="1" applyAlignment="1">
      <alignment horizontal="center"/>
    </xf>
    <xf numFmtId="165" fontId="14" fillId="3" borderId="1" xfId="1" applyNumberFormat="1" applyFont="1" applyFill="1" applyBorder="1" applyAlignment="1">
      <alignment horizontal="center"/>
    </xf>
    <xf numFmtId="166" fontId="11" fillId="2" borderId="1" xfId="0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7" fillId="3" borderId="1" xfId="0" applyFont="1" applyFill="1" applyBorder="1" applyAlignment="1">
      <alignment horizontal="center"/>
    </xf>
    <xf numFmtId="166" fontId="18" fillId="3" borderId="1" xfId="0" applyNumberFormat="1" applyFont="1" applyFill="1" applyBorder="1" applyAlignment="1">
      <alignment horizontal="center"/>
    </xf>
    <xf numFmtId="164" fontId="15" fillId="2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166" fontId="15" fillId="5" borderId="1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167" fontId="18" fillId="3" borderId="1" xfId="0" applyNumberFormat="1" applyFont="1" applyFill="1" applyBorder="1" applyAlignment="1">
      <alignment horizontal="center"/>
    </xf>
    <xf numFmtId="168" fontId="17" fillId="3" borderId="1" xfId="0" applyNumberFormat="1" applyFont="1" applyFill="1" applyBorder="1" applyAlignment="1">
      <alignment horizontal="center"/>
    </xf>
    <xf numFmtId="168" fontId="18" fillId="3" borderId="1" xfId="0" applyNumberFormat="1" applyFont="1" applyFill="1" applyBorder="1" applyAlignment="1">
      <alignment horizontal="center"/>
    </xf>
    <xf numFmtId="9" fontId="18" fillId="3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2" borderId="2" xfId="0" applyNumberFormat="1" applyFill="1" applyBorder="1"/>
    <xf numFmtId="166" fontId="5" fillId="2" borderId="3" xfId="0" applyNumberFormat="1" applyFont="1" applyFill="1" applyBorder="1"/>
    <xf numFmtId="166" fontId="4" fillId="2" borderId="3" xfId="0" applyNumberFormat="1" applyFont="1" applyFill="1" applyBorder="1"/>
    <xf numFmtId="166" fontId="3" fillId="2" borderId="3" xfId="0" applyNumberFormat="1" applyFont="1" applyFill="1" applyBorder="1"/>
    <xf numFmtId="0" fontId="0" fillId="2" borderId="8" xfId="0" applyFill="1" applyBorder="1" applyAlignment="1">
      <alignment horizontal="right" vertical="top"/>
    </xf>
    <xf numFmtId="0" fontId="0" fillId="2" borderId="4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5" xfId="0" applyFill="1" applyBorder="1"/>
    <xf numFmtId="166" fontId="0" fillId="2" borderId="0" xfId="0" applyNumberFormat="1" applyFill="1" applyBorder="1"/>
    <xf numFmtId="166" fontId="0" fillId="2" borderId="10" xfId="0" applyNumberFormat="1" applyFill="1" applyBorder="1"/>
    <xf numFmtId="166" fontId="0" fillId="2" borderId="11" xfId="0" applyNumberFormat="1" applyFill="1" applyBorder="1"/>
    <xf numFmtId="0" fontId="5" fillId="2" borderId="5" xfId="0" applyFont="1" applyFill="1" applyBorder="1"/>
    <xf numFmtId="166" fontId="5" fillId="2" borderId="9" xfId="0" applyNumberFormat="1" applyFont="1" applyFill="1" applyBorder="1"/>
    <xf numFmtId="166" fontId="5" fillId="2" borderId="0" xfId="0" applyNumberFormat="1" applyFont="1" applyFill="1" applyBorder="1"/>
    <xf numFmtId="166" fontId="5" fillId="2" borderId="10" xfId="0" applyNumberFormat="1" applyFont="1" applyFill="1" applyBorder="1"/>
    <xf numFmtId="0" fontId="4" fillId="2" borderId="5" xfId="0" applyFont="1" applyFill="1" applyBorder="1"/>
    <xf numFmtId="166" fontId="4" fillId="2" borderId="9" xfId="0" applyNumberFormat="1" applyFont="1" applyFill="1" applyBorder="1"/>
    <xf numFmtId="0" fontId="3" fillId="2" borderId="5" xfId="0" applyFont="1" applyFill="1" applyBorder="1"/>
    <xf numFmtId="166" fontId="3" fillId="2" borderId="9" xfId="0" applyNumberFormat="1" applyFont="1" applyFill="1" applyBorder="1"/>
    <xf numFmtId="0" fontId="7" fillId="2" borderId="5" xfId="0" applyFont="1" applyFill="1" applyBorder="1"/>
    <xf numFmtId="0" fontId="5" fillId="2" borderId="13" xfId="0" applyFont="1" applyFill="1" applyBorder="1"/>
    <xf numFmtId="0" fontId="3" fillId="2" borderId="13" xfId="0" applyFont="1" applyFill="1" applyBorder="1"/>
    <xf numFmtId="9" fontId="0" fillId="2" borderId="0" xfId="1" applyFont="1" applyFill="1" applyBorder="1"/>
    <xf numFmtId="9" fontId="0" fillId="2" borderId="5" xfId="1" applyFont="1" applyFill="1" applyBorder="1"/>
    <xf numFmtId="9" fontId="0" fillId="2" borderId="10" xfId="1" applyFont="1" applyFill="1" applyBorder="1"/>
    <xf numFmtId="9" fontId="5" fillId="2" borderId="5" xfId="1" applyFont="1" applyFill="1" applyBorder="1"/>
    <xf numFmtId="9" fontId="5" fillId="2" borderId="3" xfId="1" applyFont="1" applyFill="1" applyBorder="1"/>
    <xf numFmtId="9" fontId="5" fillId="2" borderId="9" xfId="1" applyFont="1" applyFill="1" applyBorder="1"/>
    <xf numFmtId="9" fontId="0" fillId="2" borderId="2" xfId="1" applyFont="1" applyFill="1" applyBorder="1"/>
    <xf numFmtId="9" fontId="0" fillId="2" borderId="11" xfId="1" applyFont="1" applyFill="1" applyBorder="1"/>
    <xf numFmtId="9" fontId="4" fillId="2" borderId="5" xfId="1" applyFont="1" applyFill="1" applyBorder="1"/>
    <xf numFmtId="9" fontId="4" fillId="2" borderId="3" xfId="1" applyFont="1" applyFill="1" applyBorder="1"/>
    <xf numFmtId="9" fontId="4" fillId="2" borderId="9" xfId="1" applyFont="1" applyFill="1" applyBorder="1"/>
    <xf numFmtId="9" fontId="7" fillId="2" borderId="5" xfId="1" applyFont="1" applyFill="1" applyBorder="1"/>
    <xf numFmtId="9" fontId="5" fillId="2" borderId="0" xfId="1" applyFont="1" applyFill="1" applyBorder="1"/>
    <xf numFmtId="9" fontId="5" fillId="2" borderId="10" xfId="1" applyFont="1" applyFill="1" applyBorder="1"/>
    <xf numFmtId="9" fontId="3" fillId="2" borderId="5" xfId="1" applyFont="1" applyFill="1" applyBorder="1"/>
    <xf numFmtId="9" fontId="3" fillId="2" borderId="3" xfId="1" applyFont="1" applyFill="1" applyBorder="1"/>
    <xf numFmtId="9" fontId="3" fillId="2" borderId="9" xfId="1" applyFont="1" applyFill="1" applyBorder="1"/>
    <xf numFmtId="9" fontId="5" fillId="2" borderId="13" xfId="1" applyFont="1" applyFill="1" applyBorder="1"/>
    <xf numFmtId="9" fontId="3" fillId="2" borderId="13" xfId="1" applyFont="1" applyFill="1" applyBorder="1"/>
    <xf numFmtId="9" fontId="19" fillId="2" borderId="0" xfId="1" applyFont="1" applyFill="1" applyBorder="1"/>
    <xf numFmtId="9" fontId="19" fillId="2" borderId="10" xfId="1" applyFont="1" applyFill="1" applyBorder="1"/>
    <xf numFmtId="165" fontId="0" fillId="2" borderId="5" xfId="1" applyNumberFormat="1" applyFont="1" applyFill="1" applyBorder="1"/>
    <xf numFmtId="165" fontId="0" fillId="2" borderId="0" xfId="1" applyNumberFormat="1" applyFont="1" applyFill="1" applyBorder="1"/>
    <xf numFmtId="165" fontId="0" fillId="2" borderId="10" xfId="1" applyNumberFormat="1" applyFont="1" applyFill="1" applyBorder="1"/>
    <xf numFmtId="165" fontId="0" fillId="2" borderId="2" xfId="1" applyNumberFormat="1" applyFont="1" applyFill="1" applyBorder="1"/>
    <xf numFmtId="165" fontId="0" fillId="2" borderId="11" xfId="1" applyNumberFormat="1" applyFont="1" applyFill="1" applyBorder="1"/>
    <xf numFmtId="165" fontId="5" fillId="2" borderId="5" xfId="1" applyNumberFormat="1" applyFont="1" applyFill="1" applyBorder="1"/>
    <xf numFmtId="165" fontId="5" fillId="2" borderId="3" xfId="1" applyNumberFormat="1" applyFont="1" applyFill="1" applyBorder="1"/>
    <xf numFmtId="165" fontId="5" fillId="2" borderId="9" xfId="1" applyNumberFormat="1" applyFont="1" applyFill="1" applyBorder="1"/>
    <xf numFmtId="165" fontId="5" fillId="2" borderId="0" xfId="1" applyNumberFormat="1" applyFont="1" applyFill="1" applyBorder="1"/>
    <xf numFmtId="165" fontId="5" fillId="2" borderId="10" xfId="1" applyNumberFormat="1" applyFont="1" applyFill="1" applyBorder="1"/>
    <xf numFmtId="165" fontId="4" fillId="2" borderId="5" xfId="1" applyNumberFormat="1" applyFont="1" applyFill="1" applyBorder="1"/>
    <xf numFmtId="165" fontId="4" fillId="2" borderId="3" xfId="1" applyNumberFormat="1" applyFont="1" applyFill="1" applyBorder="1"/>
    <xf numFmtId="165" fontId="4" fillId="2" borderId="9" xfId="1" applyNumberFormat="1" applyFont="1" applyFill="1" applyBorder="1"/>
    <xf numFmtId="165" fontId="3" fillId="2" borderId="13" xfId="1" applyNumberFormat="1" applyFont="1" applyFill="1" applyBorder="1"/>
    <xf numFmtId="165" fontId="3" fillId="2" borderId="3" xfId="1" applyNumberFormat="1" applyFont="1" applyFill="1" applyBorder="1"/>
    <xf numFmtId="165" fontId="3" fillId="2" borderId="9" xfId="1" applyNumberFormat="1" applyFont="1" applyFill="1" applyBorder="1"/>
    <xf numFmtId="166" fontId="9" fillId="5" borderId="1" xfId="0" applyNumberFormat="1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166" fontId="14" fillId="5" borderId="1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4" fillId="2" borderId="13" xfId="0" applyFont="1" applyFill="1" applyBorder="1" applyAlignment="1">
      <alignment horizontal="right"/>
    </xf>
    <xf numFmtId="166" fontId="4" fillId="2" borderId="0" xfId="0" applyNumberFormat="1" applyFont="1" applyFill="1" applyBorder="1" applyAlignment="1">
      <alignment horizontal="center"/>
    </xf>
    <xf numFmtId="166" fontId="4" fillId="2" borderId="10" xfId="0" applyNumberFormat="1" applyFont="1" applyFill="1" applyBorder="1" applyAlignment="1">
      <alignment horizontal="center"/>
    </xf>
    <xf numFmtId="166" fontId="0" fillId="2" borderId="0" xfId="0" applyNumberFormat="1" applyFill="1" applyBorder="1" applyAlignment="1">
      <alignment horizontal="center"/>
    </xf>
    <xf numFmtId="166" fontId="0" fillId="2" borderId="10" xfId="0" applyNumberFormat="1" applyFill="1" applyBorder="1" applyAlignment="1">
      <alignment horizontal="center"/>
    </xf>
    <xf numFmtId="166" fontId="5" fillId="2" borderId="3" xfId="0" applyNumberFormat="1" applyFont="1" applyFill="1" applyBorder="1" applyAlignment="1">
      <alignment horizontal="center"/>
    </xf>
    <xf numFmtId="166" fontId="5" fillId="2" borderId="9" xfId="0" applyNumberFormat="1" applyFont="1" applyFill="1" applyBorder="1" applyAlignment="1">
      <alignment horizontal="center"/>
    </xf>
    <xf numFmtId="166" fontId="5" fillId="2" borderId="0" xfId="0" applyNumberFormat="1" applyFont="1" applyFill="1" applyBorder="1" applyAlignment="1">
      <alignment horizontal="center"/>
    </xf>
    <xf numFmtId="166" fontId="5" fillId="2" borderId="10" xfId="0" applyNumberFormat="1" applyFont="1" applyFill="1" applyBorder="1" applyAlignment="1">
      <alignment horizontal="center"/>
    </xf>
    <xf numFmtId="166" fontId="4" fillId="2" borderId="3" xfId="0" applyNumberFormat="1" applyFont="1" applyFill="1" applyBorder="1" applyAlignment="1">
      <alignment horizontal="center"/>
    </xf>
    <xf numFmtId="166" fontId="4" fillId="2" borderId="9" xfId="0" applyNumberFormat="1" applyFont="1" applyFill="1" applyBorder="1" applyAlignment="1">
      <alignment horizontal="center"/>
    </xf>
    <xf numFmtId="166" fontId="3" fillId="2" borderId="4" xfId="0" applyNumberFormat="1" applyFont="1" applyFill="1" applyBorder="1" applyAlignment="1">
      <alignment horizontal="center"/>
    </xf>
    <xf numFmtId="166" fontId="3" fillId="2" borderId="12" xfId="0" applyNumberFormat="1" applyFont="1" applyFill="1" applyBorder="1" applyAlignment="1">
      <alignment horizontal="center"/>
    </xf>
    <xf numFmtId="166" fontId="3" fillId="2" borderId="0" xfId="0" applyNumberFormat="1" applyFont="1" applyFill="1" applyBorder="1" applyAlignment="1">
      <alignment horizontal="center"/>
    </xf>
    <xf numFmtId="166" fontId="3" fillId="2" borderId="10" xfId="0" applyNumberFormat="1" applyFont="1" applyFill="1" applyBorder="1" applyAlignment="1">
      <alignment horizontal="center"/>
    </xf>
    <xf numFmtId="166" fontId="3" fillId="2" borderId="3" xfId="0" applyNumberFormat="1" applyFont="1" applyFill="1" applyBorder="1" applyAlignment="1">
      <alignment horizontal="center"/>
    </xf>
    <xf numFmtId="166" fontId="3" fillId="2" borderId="9" xfId="0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9" fontId="0" fillId="0" borderId="0" xfId="1" applyFont="1" applyAlignment="1">
      <alignment horizontal="center" vertical="top"/>
    </xf>
    <xf numFmtId="166" fontId="5" fillId="0" borderId="0" xfId="0" applyNumberFormat="1" applyFont="1" applyFill="1" applyBorder="1"/>
    <xf numFmtId="166" fontId="4" fillId="0" borderId="0" xfId="0" applyNumberFormat="1" applyFont="1" applyFill="1" applyBorder="1"/>
    <xf numFmtId="0" fontId="14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9" fontId="0" fillId="0" borderId="0" xfId="0" applyNumberFormat="1"/>
    <xf numFmtId="0" fontId="20" fillId="0" borderId="0" xfId="0" applyFont="1"/>
    <xf numFmtId="0" fontId="0" fillId="0" borderId="0" xfId="0" applyProtection="1"/>
    <xf numFmtId="0" fontId="0" fillId="0" borderId="0" xfId="0" applyAlignment="1"/>
    <xf numFmtId="164" fontId="0" fillId="0" borderId="6" xfId="0" applyNumberFormat="1" applyBorder="1" applyAlignment="1" applyProtection="1">
      <protection locked="0"/>
    </xf>
    <xf numFmtId="0" fontId="0" fillId="0" borderId="0" xfId="0" applyAlignment="1" applyProtection="1"/>
    <xf numFmtId="170" fontId="0" fillId="0" borderId="0" xfId="0" applyNumberFormat="1"/>
    <xf numFmtId="0" fontId="20" fillId="0" borderId="0" xfId="0" applyFont="1" applyAlignment="1"/>
    <xf numFmtId="0" fontId="2" fillId="3" borderId="1" xfId="0" applyFont="1" applyFill="1" applyBorder="1" applyAlignment="1" applyProtection="1">
      <alignment horizontal="center" vertical="center"/>
      <protection locked="0"/>
    </xf>
    <xf numFmtId="164" fontId="0" fillId="2" borderId="1" xfId="0" applyNumberFormat="1" applyFill="1" applyBorder="1" applyAlignment="1" applyProtection="1">
      <protection locked="0"/>
    </xf>
    <xf numFmtId="0" fontId="0" fillId="2" borderId="1" xfId="0" applyFill="1" applyBorder="1" applyAlignment="1" applyProtection="1"/>
    <xf numFmtId="0" fontId="0" fillId="2" borderId="1" xfId="0" applyFill="1" applyBorder="1" applyAlignment="1"/>
    <xf numFmtId="170" fontId="2" fillId="2" borderId="1" xfId="0" applyNumberFormat="1" applyFont="1" applyFill="1" applyBorder="1"/>
    <xf numFmtId="2" fontId="0" fillId="2" borderId="1" xfId="0" applyNumberFormat="1" applyFill="1" applyBorder="1"/>
    <xf numFmtId="0" fontId="14" fillId="3" borderId="1" xfId="0" applyFont="1" applyFill="1" applyBorder="1" applyAlignment="1" applyProtection="1">
      <alignment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protection locked="0"/>
    </xf>
    <xf numFmtId="164" fontId="9" fillId="2" borderId="1" xfId="0" applyNumberFormat="1" applyFont="1" applyFill="1" applyBorder="1" applyAlignment="1" applyProtection="1">
      <protection locked="0"/>
    </xf>
    <xf numFmtId="0" fontId="9" fillId="2" borderId="1" xfId="0" applyFont="1" applyFill="1" applyBorder="1" applyAlignment="1" applyProtection="1"/>
    <xf numFmtId="0" fontId="9" fillId="2" borderId="1" xfId="0" applyFont="1" applyFill="1" applyBorder="1" applyAlignment="1"/>
    <xf numFmtId="0" fontId="9" fillId="2" borderId="1" xfId="0" applyFont="1" applyFill="1" applyBorder="1" applyAlignment="1">
      <alignment horizontal="right"/>
    </xf>
    <xf numFmtId="2" fontId="9" fillId="2" borderId="1" xfId="0" applyNumberFormat="1" applyFont="1" applyFill="1" applyBorder="1"/>
    <xf numFmtId="0" fontId="9" fillId="2" borderId="1" xfId="0" applyFont="1" applyFill="1" applyBorder="1" applyAlignment="1">
      <alignment horizontal="right" wrapText="1"/>
    </xf>
    <xf numFmtId="0" fontId="14" fillId="2" borderId="1" xfId="0" applyFont="1" applyFill="1" applyBorder="1" applyAlignment="1"/>
    <xf numFmtId="170" fontId="14" fillId="2" borderId="1" xfId="0" applyNumberFormat="1" applyFont="1" applyFill="1" applyBorder="1"/>
    <xf numFmtId="0" fontId="21" fillId="0" borderId="0" xfId="0" applyFont="1" applyAlignment="1">
      <alignment horizontal="right" vertical="center" readingOrder="2"/>
    </xf>
    <xf numFmtId="0" fontId="22" fillId="0" borderId="0" xfId="0" applyFont="1" applyAlignment="1">
      <alignment horizontal="left" vertical="center" readingOrder="1"/>
    </xf>
    <xf numFmtId="14" fontId="9" fillId="2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readingOrder="1"/>
    </xf>
    <xf numFmtId="14" fontId="18" fillId="3" borderId="1" xfId="0" applyNumberFormat="1" applyFont="1" applyFill="1" applyBorder="1" applyAlignment="1">
      <alignment horizontal="center"/>
    </xf>
    <xf numFmtId="168" fontId="0" fillId="0" borderId="1" xfId="0" applyNumberFormat="1" applyBorder="1"/>
    <xf numFmtId="169" fontId="0" fillId="0" borderId="1" xfId="0" applyNumberFormat="1" applyBorder="1"/>
    <xf numFmtId="9" fontId="0" fillId="0" borderId="1" xfId="1" applyFont="1" applyBorder="1"/>
    <xf numFmtId="43" fontId="0" fillId="0" borderId="0" xfId="2" applyFont="1"/>
    <xf numFmtId="0" fontId="9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171" fontId="0" fillId="0" borderId="0" xfId="0" applyNumberFormat="1"/>
    <xf numFmtId="0" fontId="14" fillId="0" borderId="0" xfId="0" applyFont="1" applyAlignment="1">
      <alignment horizontal="center" vertical="center"/>
    </xf>
    <xf numFmtId="9" fontId="9" fillId="0" borderId="0" xfId="1" applyFont="1" applyAlignment="1">
      <alignment horizontal="center" vertical="center"/>
    </xf>
    <xf numFmtId="165" fontId="9" fillId="0" borderId="1" xfId="1" applyNumberFormat="1" applyFont="1" applyBorder="1" applyAlignment="1">
      <alignment horizontal="center" vertical="center"/>
    </xf>
    <xf numFmtId="171" fontId="9" fillId="0" borderId="1" xfId="2" applyNumberFormat="1" applyFont="1" applyBorder="1" applyAlignment="1">
      <alignment horizontal="center" vertical="center"/>
    </xf>
    <xf numFmtId="171" fontId="9" fillId="0" borderId="1" xfId="2" applyNumberFormat="1" applyFont="1" applyBorder="1" applyAlignment="1" applyProtection="1">
      <alignment horizontal="center" vertical="center"/>
      <protection locked="0"/>
    </xf>
    <xf numFmtId="165" fontId="14" fillId="0" borderId="1" xfId="1" applyNumberFormat="1" applyFont="1" applyBorder="1" applyAlignment="1">
      <alignment horizontal="center" vertical="center"/>
    </xf>
    <xf numFmtId="165" fontId="14" fillId="0" borderId="0" xfId="1" applyNumberFormat="1" applyFont="1" applyAlignment="1">
      <alignment horizontal="center" vertical="center"/>
    </xf>
    <xf numFmtId="171" fontId="9" fillId="0" borderId="1" xfId="2" applyNumberFormat="1" applyFont="1" applyBorder="1" applyAlignment="1" applyProtection="1">
      <alignment horizontal="center" vertical="center"/>
    </xf>
    <xf numFmtId="165" fontId="14" fillId="3" borderId="1" xfId="1" applyNumberFormat="1" applyFont="1" applyFill="1" applyBorder="1" applyAlignment="1">
      <alignment horizontal="center" vertical="center"/>
    </xf>
    <xf numFmtId="165" fontId="14" fillId="4" borderId="1" xfId="1" applyNumberFormat="1" applyFont="1" applyFill="1" applyBorder="1" applyAlignment="1">
      <alignment horizontal="center" vertical="center"/>
    </xf>
    <xf numFmtId="171" fontId="9" fillId="3" borderId="1" xfId="2" applyNumberFormat="1" applyFont="1" applyFill="1" applyBorder="1" applyAlignment="1">
      <alignment horizontal="center" vertical="center"/>
    </xf>
    <xf numFmtId="9" fontId="9" fillId="3" borderId="1" xfId="1" applyFont="1" applyFill="1" applyBorder="1" applyAlignment="1">
      <alignment horizontal="center" vertical="center"/>
    </xf>
    <xf numFmtId="9" fontId="14" fillId="3" borderId="1" xfId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 applyProtection="1">
      <alignment horizontal="center" vertical="center" wrapText="1"/>
    </xf>
    <xf numFmtId="0" fontId="23" fillId="0" borderId="0" xfId="0" applyFont="1" applyAlignment="1">
      <alignment horizontal="center"/>
    </xf>
    <xf numFmtId="165" fontId="0" fillId="0" borderId="1" xfId="1" applyNumberFormat="1" applyFont="1" applyBorder="1" applyAlignment="1">
      <alignment horizontal="center" vertical="center"/>
    </xf>
    <xf numFmtId="171" fontId="0" fillId="0" borderId="1" xfId="1" applyNumberFormat="1" applyFon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0" fontId="13" fillId="4" borderId="1" xfId="1" applyNumberFormat="1" applyFont="1" applyFill="1" applyBorder="1" applyAlignment="1">
      <alignment horizontal="center" vertical="center"/>
    </xf>
    <xf numFmtId="166" fontId="9" fillId="2" borderId="1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9" fontId="23" fillId="0" borderId="0" xfId="0" applyNumberFormat="1" applyFont="1" applyAlignment="1">
      <alignment horizontal="center"/>
    </xf>
    <xf numFmtId="172" fontId="28" fillId="0" borderId="14" xfId="0" applyNumberFormat="1" applyFont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10" fontId="0" fillId="0" borderId="0" xfId="1" applyNumberFormat="1" applyFont="1"/>
    <xf numFmtId="10" fontId="0" fillId="0" borderId="0" xfId="0" applyNumberFormat="1"/>
    <xf numFmtId="0" fontId="29" fillId="2" borderId="1" xfId="0" applyFont="1" applyFill="1" applyBorder="1" applyAlignment="1">
      <alignment horizontal="center"/>
    </xf>
    <xf numFmtId="10" fontId="29" fillId="2" borderId="1" xfId="1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29" fillId="2" borderId="1" xfId="0" applyFont="1" applyFill="1" applyBorder="1" applyAlignment="1">
      <alignment horizontal="center" vertical="center"/>
    </xf>
    <xf numFmtId="10" fontId="29" fillId="2" borderId="1" xfId="0" applyNumberFormat="1" applyFont="1" applyFill="1" applyBorder="1" applyAlignment="1">
      <alignment horizontal="center" vertical="center"/>
    </xf>
    <xf numFmtId="10" fontId="9" fillId="2" borderId="1" xfId="0" applyNumberFormat="1" applyFont="1" applyFill="1" applyBorder="1" applyAlignment="1">
      <alignment horizontal="center"/>
    </xf>
    <xf numFmtId="9" fontId="9" fillId="0" borderId="1" xfId="1" applyFont="1" applyBorder="1" applyAlignment="1" applyProtection="1">
      <alignment horizontal="center" vertical="center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29" fillId="2" borderId="1" xfId="0" applyFont="1" applyFill="1" applyBorder="1" applyAlignment="1">
      <alignment horizontal="center" vertical="center" readingOrder="2"/>
    </xf>
    <xf numFmtId="0" fontId="27" fillId="2" borderId="1" xfId="0" applyFont="1" applyFill="1" applyBorder="1" applyAlignment="1">
      <alignment horizontal="center" vertical="center" readingOrder="2"/>
    </xf>
    <xf numFmtId="0" fontId="29" fillId="2" borderId="1" xfId="0" applyFont="1" applyFill="1" applyBorder="1" applyAlignment="1">
      <alignment horizontal="center" vertical="top"/>
    </xf>
    <xf numFmtId="4" fontId="29" fillId="2" borderId="1" xfId="0" applyNumberFormat="1" applyFont="1" applyFill="1" applyBorder="1" applyAlignment="1">
      <alignment horizontal="center" vertical="top"/>
    </xf>
    <xf numFmtId="9" fontId="14" fillId="2" borderId="1" xfId="0" applyNumberFormat="1" applyFont="1" applyFill="1" applyBorder="1" applyAlignment="1">
      <alignment horizontal="center" vertical="center"/>
    </xf>
    <xf numFmtId="9" fontId="9" fillId="2" borderId="1" xfId="1" applyFont="1" applyFill="1" applyBorder="1" applyAlignment="1">
      <alignment horizontal="center" vertical="center"/>
    </xf>
    <xf numFmtId="9" fontId="9" fillId="2" borderId="1" xfId="0" applyNumberFormat="1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wrapText="1"/>
    </xf>
    <xf numFmtId="0" fontId="14" fillId="7" borderId="1" xfId="0" applyFont="1" applyFill="1" applyBorder="1" applyAlignment="1">
      <alignment horizontal="center"/>
    </xf>
    <xf numFmtId="164" fontId="23" fillId="2" borderId="0" xfId="0" applyNumberFormat="1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/>
    </xf>
    <xf numFmtId="3" fontId="9" fillId="2" borderId="0" xfId="0" applyNumberFormat="1" applyFont="1" applyFill="1" applyBorder="1" applyAlignment="1">
      <alignment horizontal="center" vertical="center" readingOrder="1"/>
    </xf>
    <xf numFmtId="165" fontId="25" fillId="2" borderId="0" xfId="2" applyNumberFormat="1" applyFont="1" applyFill="1" applyBorder="1" applyAlignment="1">
      <alignment horizontal="center" vertical="center" readingOrder="1"/>
    </xf>
    <xf numFmtId="10" fontId="25" fillId="2" borderId="0" xfId="2" applyNumberFormat="1" applyFont="1" applyFill="1" applyBorder="1" applyAlignment="1">
      <alignment horizontal="center" vertical="center" readingOrder="1"/>
    </xf>
    <xf numFmtId="9" fontId="23" fillId="2" borderId="0" xfId="1" applyFont="1" applyFill="1" applyBorder="1" applyAlignment="1">
      <alignment horizontal="center"/>
    </xf>
    <xf numFmtId="3" fontId="23" fillId="2" borderId="0" xfId="0" applyNumberFormat="1" applyFont="1" applyFill="1" applyBorder="1" applyAlignment="1">
      <alignment horizontal="center"/>
    </xf>
    <xf numFmtId="165" fontId="26" fillId="2" borderId="0" xfId="1" applyNumberFormat="1" applyFont="1" applyFill="1" applyBorder="1" applyAlignment="1">
      <alignment horizontal="center"/>
    </xf>
    <xf numFmtId="166" fontId="23" fillId="2" borderId="0" xfId="0" applyNumberFormat="1" applyFont="1" applyFill="1" applyBorder="1" applyAlignment="1">
      <alignment horizontal="center"/>
    </xf>
    <xf numFmtId="0" fontId="14" fillId="2" borderId="17" xfId="0" applyNumberFormat="1" applyFont="1" applyFill="1" applyBorder="1" applyAlignment="1">
      <alignment horizontal="center" vertical="center" readingOrder="1"/>
    </xf>
    <xf numFmtId="0" fontId="14" fillId="2" borderId="18" xfId="0" applyNumberFormat="1" applyFont="1" applyFill="1" applyBorder="1" applyAlignment="1">
      <alignment horizontal="center" vertical="center" readingOrder="1"/>
    </xf>
    <xf numFmtId="3" fontId="9" fillId="2" borderId="20" xfId="0" applyNumberFormat="1" applyFont="1" applyFill="1" applyBorder="1" applyAlignment="1">
      <alignment horizontal="center" vertical="center" readingOrder="1"/>
    </xf>
    <xf numFmtId="165" fontId="25" fillId="2" borderId="20" xfId="2" applyNumberFormat="1" applyFont="1" applyFill="1" applyBorder="1" applyAlignment="1">
      <alignment horizontal="center" vertical="center" readingOrder="1"/>
    </xf>
    <xf numFmtId="9" fontId="23" fillId="2" borderId="20" xfId="1" applyFont="1" applyFill="1" applyBorder="1" applyAlignment="1">
      <alignment horizontal="center"/>
    </xf>
    <xf numFmtId="3" fontId="23" fillId="2" borderId="20" xfId="0" applyNumberFormat="1" applyFont="1" applyFill="1" applyBorder="1" applyAlignment="1">
      <alignment horizontal="center"/>
    </xf>
    <xf numFmtId="165" fontId="26" fillId="2" borderId="20" xfId="1" applyNumberFormat="1" applyFont="1" applyFill="1" applyBorder="1" applyAlignment="1">
      <alignment horizontal="center"/>
    </xf>
    <xf numFmtId="166" fontId="23" fillId="2" borderId="20" xfId="0" applyNumberFormat="1" applyFont="1" applyFill="1" applyBorder="1" applyAlignment="1">
      <alignment horizontal="center"/>
    </xf>
    <xf numFmtId="173" fontId="26" fillId="2" borderId="20" xfId="1" applyNumberFormat="1" applyFont="1" applyFill="1" applyBorder="1" applyAlignment="1">
      <alignment horizontal="center"/>
    </xf>
    <xf numFmtId="0" fontId="23" fillId="2" borderId="19" xfId="0" applyFont="1" applyFill="1" applyBorder="1" applyAlignment="1">
      <alignment horizontal="center"/>
    </xf>
    <xf numFmtId="0" fontId="23" fillId="2" borderId="20" xfId="0" applyFont="1" applyFill="1" applyBorder="1" applyAlignment="1">
      <alignment horizontal="center"/>
    </xf>
    <xf numFmtId="164" fontId="23" fillId="2" borderId="17" xfId="0" applyNumberFormat="1" applyFont="1" applyFill="1" applyBorder="1" applyAlignment="1">
      <alignment horizontal="center"/>
    </xf>
    <xf numFmtId="0" fontId="23" fillId="2" borderId="17" xfId="0" applyFont="1" applyFill="1" applyBorder="1" applyAlignment="1">
      <alignment horizontal="center"/>
    </xf>
    <xf numFmtId="3" fontId="9" fillId="2" borderId="17" xfId="0" applyNumberFormat="1" applyFont="1" applyFill="1" applyBorder="1" applyAlignment="1">
      <alignment horizontal="center" vertical="center" readingOrder="1"/>
    </xf>
    <xf numFmtId="3" fontId="9" fillId="2" borderId="18" xfId="0" applyNumberFormat="1" applyFont="1" applyFill="1" applyBorder="1" applyAlignment="1">
      <alignment horizontal="center" vertical="center" readingOrder="1"/>
    </xf>
    <xf numFmtId="3" fontId="23" fillId="2" borderId="21" xfId="0" applyNumberFormat="1" applyFont="1" applyFill="1" applyBorder="1" applyAlignment="1">
      <alignment horizontal="center"/>
    </xf>
    <xf numFmtId="3" fontId="23" fillId="2" borderId="22" xfId="0" applyNumberFormat="1" applyFont="1" applyFill="1" applyBorder="1" applyAlignment="1">
      <alignment horizontal="center"/>
    </xf>
    <xf numFmtId="0" fontId="23" fillId="2" borderId="23" xfId="0" applyFont="1" applyFill="1" applyBorder="1" applyAlignment="1">
      <alignment horizontal="center"/>
    </xf>
    <xf numFmtId="1" fontId="23" fillId="2" borderId="24" xfId="0" applyNumberFormat="1" applyFont="1" applyFill="1" applyBorder="1" applyAlignment="1">
      <alignment horizontal="center"/>
    </xf>
    <xf numFmtId="2" fontId="0" fillId="0" borderId="0" xfId="0" applyNumberFormat="1"/>
    <xf numFmtId="0" fontId="31" fillId="0" borderId="25" xfId="0" applyFont="1" applyBorder="1" applyAlignment="1">
      <alignment horizontal="left" wrapText="1"/>
    </xf>
    <xf numFmtId="0" fontId="31" fillId="0" borderId="26" xfId="0" applyFont="1" applyBorder="1" applyAlignment="1">
      <alignment horizontal="center" wrapText="1"/>
    </xf>
    <xf numFmtId="0" fontId="32" fillId="0" borderId="27" xfId="0" applyFont="1" applyBorder="1" applyAlignment="1">
      <alignment horizontal="center" wrapText="1"/>
    </xf>
    <xf numFmtId="0" fontId="33" fillId="0" borderId="28" xfId="0" applyFont="1" applyFill="1" applyBorder="1" applyAlignment="1">
      <alignment horizontal="left"/>
    </xf>
    <xf numFmtId="0" fontId="33" fillId="0" borderId="29" xfId="0" applyFont="1" applyFill="1" applyBorder="1" applyAlignment="1">
      <alignment horizontal="center"/>
    </xf>
    <xf numFmtId="2" fontId="33" fillId="0" borderId="29" xfId="0" applyNumberFormat="1" applyFont="1" applyFill="1" applyBorder="1" applyAlignment="1">
      <alignment horizontal="center"/>
    </xf>
    <xf numFmtId="10" fontId="35" fillId="0" borderId="29" xfId="1" applyNumberFormat="1" applyFont="1" applyFill="1" applyBorder="1" applyAlignment="1">
      <alignment horizontal="center"/>
    </xf>
    <xf numFmtId="10" fontId="34" fillId="0" borderId="29" xfId="0" applyNumberFormat="1" applyFont="1" applyFill="1" applyBorder="1" applyAlignment="1">
      <alignment horizontal="center"/>
    </xf>
    <xf numFmtId="10" fontId="35" fillId="0" borderId="30" xfId="1" applyNumberFormat="1" applyFont="1" applyFill="1" applyBorder="1" applyAlignment="1">
      <alignment horizontal="center"/>
    </xf>
    <xf numFmtId="10" fontId="0" fillId="0" borderId="22" xfId="0" applyNumberFormat="1" applyBorder="1"/>
    <xf numFmtId="3" fontId="0" fillId="0" borderId="0" xfId="0" applyNumberFormat="1" applyAlignment="1">
      <alignment wrapText="1"/>
    </xf>
    <xf numFmtId="0" fontId="30" fillId="0" borderId="0" xfId="3" applyAlignment="1">
      <alignment wrapText="1"/>
    </xf>
    <xf numFmtId="0" fontId="0" fillId="3" borderId="0" xfId="0" applyFill="1"/>
    <xf numFmtId="10" fontId="0" fillId="3" borderId="0" xfId="0" applyNumberFormat="1" applyFill="1"/>
    <xf numFmtId="165" fontId="23" fillId="0" borderId="0" xfId="0" applyNumberFormat="1" applyFont="1" applyAlignment="1">
      <alignment horizontal="center"/>
    </xf>
    <xf numFmtId="10" fontId="23" fillId="0" borderId="0" xfId="0" applyNumberFormat="1" applyFont="1" applyAlignment="1">
      <alignment horizontal="center"/>
    </xf>
    <xf numFmtId="171" fontId="23" fillId="0" borderId="0" xfId="0" applyNumberFormat="1" applyFont="1" applyAlignment="1">
      <alignment horizontal="center"/>
    </xf>
    <xf numFmtId="172" fontId="28" fillId="0" borderId="15" xfId="0" applyNumberFormat="1" applyFont="1" applyBorder="1" applyAlignment="1">
      <alignment horizontal="right" vertical="center" readingOrder="2"/>
    </xf>
    <xf numFmtId="0" fontId="23" fillId="2" borderId="16" xfId="0" applyFont="1" applyFill="1" applyBorder="1" applyAlignment="1">
      <alignment horizontal="center"/>
    </xf>
    <xf numFmtId="10" fontId="23" fillId="2" borderId="18" xfId="0" applyNumberFormat="1" applyFont="1" applyFill="1" applyBorder="1" applyAlignment="1">
      <alignment horizontal="center"/>
    </xf>
    <xf numFmtId="171" fontId="23" fillId="2" borderId="20" xfId="2" applyNumberFormat="1" applyFont="1" applyFill="1" applyBorder="1" applyAlignment="1">
      <alignment horizontal="center"/>
    </xf>
    <xf numFmtId="172" fontId="28" fillId="2" borderId="19" xfId="0" applyNumberFormat="1" applyFont="1" applyFill="1" applyBorder="1" applyAlignment="1">
      <alignment horizontal="right" vertical="center" readingOrder="2"/>
    </xf>
    <xf numFmtId="172" fontId="28" fillId="2" borderId="19" xfId="0" applyNumberFormat="1" applyFont="1" applyFill="1" applyBorder="1" applyAlignment="1">
      <alignment horizontal="right" vertical="center" wrapText="1" readingOrder="2"/>
    </xf>
    <xf numFmtId="171" fontId="23" fillId="2" borderId="20" xfId="0" applyNumberFormat="1" applyFont="1" applyFill="1" applyBorder="1" applyAlignment="1">
      <alignment horizontal="center"/>
    </xf>
    <xf numFmtId="172" fontId="28" fillId="2" borderId="15" xfId="0" applyNumberFormat="1" applyFont="1" applyFill="1" applyBorder="1" applyAlignment="1">
      <alignment horizontal="right" vertical="center" readingOrder="2"/>
    </xf>
    <xf numFmtId="9" fontId="23" fillId="2" borderId="22" xfId="1" applyFont="1" applyFill="1" applyBorder="1" applyAlignment="1">
      <alignment horizontal="center"/>
    </xf>
    <xf numFmtId="0" fontId="0" fillId="0" borderId="0" xfId="0" applyAlignment="1" applyProtection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166" fontId="0" fillId="0" borderId="0" xfId="0" applyNumberFormat="1" applyAlignment="1">
      <alignment wrapText="1"/>
    </xf>
    <xf numFmtId="166" fontId="5" fillId="0" borderId="3" xfId="0" applyNumberFormat="1" applyFont="1" applyBorder="1" applyAlignment="1">
      <alignment wrapText="1"/>
    </xf>
    <xf numFmtId="43" fontId="0" fillId="0" borderId="0" xfId="0" applyNumberFormat="1"/>
    <xf numFmtId="0" fontId="0" fillId="0" borderId="0" xfId="0" applyNumberFormat="1"/>
    <xf numFmtId="0" fontId="14" fillId="3" borderId="5" xfId="0" applyFont="1" applyFill="1" applyBorder="1" applyAlignment="1" applyProtection="1">
      <alignment horizontal="center" vertical="center"/>
      <protection locked="0"/>
    </xf>
    <xf numFmtId="171" fontId="9" fillId="0" borderId="0" xfId="2" applyNumberFormat="1" applyFont="1" applyBorder="1" applyAlignment="1" applyProtection="1">
      <alignment horizontal="center" vertical="center"/>
      <protection locked="0"/>
    </xf>
    <xf numFmtId="171" fontId="9" fillId="0" borderId="0" xfId="2" applyNumberFormat="1" applyFont="1" applyBorder="1" applyAlignment="1" applyProtection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36" fillId="3" borderId="1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/>
    </xf>
    <xf numFmtId="43" fontId="36" fillId="3" borderId="1" xfId="0" applyNumberFormat="1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43" fontId="37" fillId="0" borderId="1" xfId="0" applyNumberFormat="1" applyFont="1" applyBorder="1" applyAlignment="1">
      <alignment horizontal="center" vertical="center"/>
    </xf>
    <xf numFmtId="171" fontId="36" fillId="0" borderId="1" xfId="0" applyNumberFormat="1" applyFont="1" applyBorder="1" applyAlignment="1">
      <alignment horizontal="center" vertical="center"/>
    </xf>
    <xf numFmtId="0" fontId="37" fillId="0" borderId="1" xfId="0" applyNumberFormat="1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1" fontId="23" fillId="0" borderId="0" xfId="0" applyNumberFormat="1" applyFont="1" applyAlignment="1">
      <alignment horizontal="center"/>
    </xf>
    <xf numFmtId="9" fontId="23" fillId="0" borderId="0" xfId="1" applyFont="1" applyAlignment="1">
      <alignment horizontal="center"/>
    </xf>
    <xf numFmtId="165" fontId="23" fillId="0" borderId="0" xfId="1" applyNumberFormat="1" applyFont="1" applyAlignment="1">
      <alignment horizontal="center"/>
    </xf>
    <xf numFmtId="9" fontId="9" fillId="3" borderId="1" xfId="1" applyFont="1" applyFill="1" applyBorder="1" applyAlignment="1">
      <alignment horizontal="center" vertical="center" wrapText="1"/>
    </xf>
    <xf numFmtId="171" fontId="9" fillId="0" borderId="0" xfId="0" applyNumberFormat="1" applyFont="1" applyAlignment="1">
      <alignment horizontal="center" vertical="center"/>
    </xf>
    <xf numFmtId="10" fontId="9" fillId="0" borderId="1" xfId="1" applyNumberFormat="1" applyFont="1" applyBorder="1" applyAlignment="1">
      <alignment horizontal="center" vertical="center"/>
    </xf>
    <xf numFmtId="0" fontId="14" fillId="9" borderId="32" xfId="0" applyFont="1" applyFill="1" applyBorder="1" applyAlignment="1">
      <alignment horizontal="center" vertical="center" wrapText="1" readingOrder="2"/>
    </xf>
    <xf numFmtId="0" fontId="14" fillId="9" borderId="14" xfId="0" applyFont="1" applyFill="1" applyBorder="1" applyAlignment="1">
      <alignment horizontal="center" vertical="center" wrapText="1" readingOrder="2"/>
    </xf>
    <xf numFmtId="0" fontId="9" fillId="0" borderId="15" xfId="0" applyFont="1" applyBorder="1" applyAlignment="1">
      <alignment horizontal="center" vertical="center" readingOrder="2"/>
    </xf>
    <xf numFmtId="0" fontId="9" fillId="0" borderId="15" xfId="0" applyFont="1" applyBorder="1" applyAlignment="1">
      <alignment horizontal="center" vertical="center" readingOrder="1"/>
    </xf>
    <xf numFmtId="0" fontId="14" fillId="0" borderId="15" xfId="0" applyFont="1" applyBorder="1" applyAlignment="1">
      <alignment horizontal="center" vertical="center" readingOrder="1"/>
    </xf>
    <xf numFmtId="10" fontId="14" fillId="0" borderId="15" xfId="0" applyNumberFormat="1" applyFont="1" applyBorder="1" applyAlignment="1">
      <alignment horizontal="center" vertical="center" readingOrder="1"/>
    </xf>
    <xf numFmtId="0" fontId="14" fillId="0" borderId="15" xfId="0" applyFont="1" applyBorder="1" applyAlignment="1">
      <alignment horizontal="center" vertical="center" readingOrder="2"/>
    </xf>
    <xf numFmtId="3" fontId="9" fillId="2" borderId="16" xfId="0" applyNumberFormat="1" applyFont="1" applyFill="1" applyBorder="1" applyAlignment="1">
      <alignment horizontal="center" vertical="center" readingOrder="1"/>
    </xf>
    <xf numFmtId="165" fontId="25" fillId="2" borderId="19" xfId="2" applyNumberFormat="1" applyFont="1" applyFill="1" applyBorder="1" applyAlignment="1">
      <alignment horizontal="center" vertical="center" readingOrder="1"/>
    </xf>
    <xf numFmtId="3" fontId="9" fillId="2" borderId="19" xfId="0" applyNumberFormat="1" applyFont="1" applyFill="1" applyBorder="1" applyAlignment="1">
      <alignment horizontal="center" vertical="center" readingOrder="1"/>
    </xf>
    <xf numFmtId="9" fontId="23" fillId="2" borderId="19" xfId="1" applyFont="1" applyFill="1" applyBorder="1" applyAlignment="1">
      <alignment horizontal="center"/>
    </xf>
    <xf numFmtId="166" fontId="23" fillId="2" borderId="19" xfId="0" applyNumberFormat="1" applyFont="1" applyFill="1" applyBorder="1" applyAlignment="1">
      <alignment horizontal="center"/>
    </xf>
    <xf numFmtId="3" fontId="23" fillId="2" borderId="15" xfId="0" applyNumberFormat="1" applyFont="1" applyFill="1" applyBorder="1" applyAlignment="1">
      <alignment horizontal="center"/>
    </xf>
    <xf numFmtId="165" fontId="23" fillId="2" borderId="0" xfId="1" applyNumberFormat="1" applyFont="1" applyFill="1" applyBorder="1" applyAlignment="1">
      <alignment horizontal="center"/>
    </xf>
    <xf numFmtId="1" fontId="23" fillId="2" borderId="23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164" fontId="9" fillId="2" borderId="19" xfId="0" applyNumberFormat="1" applyFont="1" applyFill="1" applyBorder="1" applyAlignment="1">
      <alignment vertical="center"/>
    </xf>
    <xf numFmtId="164" fontId="9" fillId="2" borderId="0" xfId="0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 wrapText="1"/>
    </xf>
    <xf numFmtId="0" fontId="9" fillId="2" borderId="19" xfId="0" applyFont="1" applyFill="1" applyBorder="1" applyAlignment="1">
      <alignment vertical="center"/>
    </xf>
    <xf numFmtId="43" fontId="9" fillId="2" borderId="20" xfId="2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vertical="center"/>
    </xf>
    <xf numFmtId="0" fontId="14" fillId="7" borderId="17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vertical="center"/>
    </xf>
    <xf numFmtId="0" fontId="14" fillId="2" borderId="21" xfId="0" applyFont="1" applyFill="1" applyBorder="1" applyAlignment="1">
      <alignment horizontal="center" vertical="center"/>
    </xf>
    <xf numFmtId="9" fontId="14" fillId="2" borderId="21" xfId="1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9" fontId="14" fillId="2" borderId="22" xfId="0" applyNumberFormat="1" applyFont="1" applyFill="1" applyBorder="1" applyAlignment="1">
      <alignment horizontal="center" vertical="center"/>
    </xf>
    <xf numFmtId="0" fontId="14" fillId="7" borderId="25" xfId="0" applyFont="1" applyFill="1" applyBorder="1" applyAlignment="1">
      <alignment horizontal="center" vertical="center" wrapText="1"/>
    </xf>
    <xf numFmtId="0" fontId="14" fillId="7" borderId="26" xfId="0" applyFont="1" applyFill="1" applyBorder="1" applyAlignment="1">
      <alignment horizontal="center" vertical="center" wrapText="1"/>
    </xf>
    <xf numFmtId="0" fontId="14" fillId="7" borderId="27" xfId="0" applyFont="1" applyFill="1" applyBorder="1" applyAlignment="1">
      <alignment horizontal="center" vertical="center" wrapText="1"/>
    </xf>
    <xf numFmtId="0" fontId="14" fillId="8" borderId="37" xfId="0" applyFont="1" applyFill="1" applyBorder="1" applyAlignment="1">
      <alignment horizontal="center" vertical="center" wrapText="1"/>
    </xf>
    <xf numFmtId="166" fontId="9" fillId="2" borderId="38" xfId="0" applyNumberFormat="1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horizontal="center" vertical="center" wrapText="1"/>
    </xf>
    <xf numFmtId="166" fontId="27" fillId="4" borderId="29" xfId="0" applyNumberFormat="1" applyFont="1" applyFill="1" applyBorder="1" applyAlignment="1">
      <alignment horizontal="center" vertical="center" wrapText="1"/>
    </xf>
    <xf numFmtId="2" fontId="9" fillId="4" borderId="29" xfId="0" applyNumberFormat="1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9" fillId="4" borderId="39" xfId="0" applyFont="1" applyFill="1" applyBorder="1" applyAlignment="1">
      <alignment horizontal="center" vertical="center" wrapText="1"/>
    </xf>
    <xf numFmtId="1" fontId="9" fillId="4" borderId="29" xfId="0" applyNumberFormat="1" applyFont="1" applyFill="1" applyBorder="1" applyAlignment="1">
      <alignment horizontal="center" vertical="center" wrapText="1"/>
    </xf>
    <xf numFmtId="0" fontId="14" fillId="2" borderId="18" xfId="0" applyNumberFormat="1" applyFont="1" applyFill="1" applyBorder="1" applyAlignment="1">
      <alignment horizontal="center" vertical="center" wrapText="1" readingOrder="1"/>
    </xf>
    <xf numFmtId="0" fontId="23" fillId="0" borderId="0" xfId="0" applyFont="1" applyAlignment="1">
      <alignment horizontal="center" wrapText="1"/>
    </xf>
    <xf numFmtId="0" fontId="24" fillId="2" borderId="16" xfId="0" applyFont="1" applyFill="1" applyBorder="1" applyAlignment="1">
      <alignment horizontal="center" wrapText="1" readingOrder="2"/>
    </xf>
    <xf numFmtId="172" fontId="9" fillId="2" borderId="16" xfId="2" applyNumberFormat="1" applyFont="1" applyFill="1" applyBorder="1" applyAlignment="1">
      <alignment horizontal="center" vertical="center" wrapText="1" readingOrder="2"/>
    </xf>
    <xf numFmtId="172" fontId="25" fillId="2" borderId="19" xfId="2" applyNumberFormat="1" applyFont="1" applyFill="1" applyBorder="1" applyAlignment="1">
      <alignment horizontal="center" vertical="center" wrapText="1" readingOrder="2"/>
    </xf>
    <xf numFmtId="172" fontId="9" fillId="2" borderId="19" xfId="2" applyNumberFormat="1" applyFont="1" applyFill="1" applyBorder="1" applyAlignment="1">
      <alignment horizontal="center" vertical="center" wrapText="1" readingOrder="2"/>
    </xf>
    <xf numFmtId="172" fontId="23" fillId="2" borderId="19" xfId="0" applyNumberFormat="1" applyFont="1" applyFill="1" applyBorder="1" applyAlignment="1">
      <alignment horizontal="center" wrapText="1"/>
    </xf>
    <xf numFmtId="172" fontId="23" fillId="2" borderId="15" xfId="0" applyNumberFormat="1" applyFont="1" applyFill="1" applyBorder="1" applyAlignment="1">
      <alignment horizontal="center" wrapText="1"/>
    </xf>
    <xf numFmtId="172" fontId="26" fillId="2" borderId="19" xfId="0" applyNumberFormat="1" applyFont="1" applyFill="1" applyBorder="1" applyAlignment="1">
      <alignment horizontal="center" wrapText="1"/>
    </xf>
    <xf numFmtId="173" fontId="26" fillId="2" borderId="19" xfId="0" applyNumberFormat="1" applyFont="1" applyFill="1" applyBorder="1" applyAlignment="1">
      <alignment horizontal="center" wrapText="1"/>
    </xf>
    <xf numFmtId="0" fontId="23" fillId="2" borderId="19" xfId="0" applyFont="1" applyFill="1" applyBorder="1" applyAlignment="1">
      <alignment horizontal="center" wrapText="1"/>
    </xf>
    <xf numFmtId="0" fontId="23" fillId="2" borderId="14" xfId="0" applyFont="1" applyFill="1" applyBorder="1" applyAlignment="1">
      <alignment horizontal="center" wrapText="1"/>
    </xf>
    <xf numFmtId="0" fontId="14" fillId="2" borderId="18" xfId="0" applyFont="1" applyFill="1" applyBorder="1" applyAlignment="1">
      <alignment horizontal="center" vertical="center" wrapText="1"/>
    </xf>
    <xf numFmtId="0" fontId="39" fillId="10" borderId="20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38" fillId="10" borderId="20" xfId="0" applyFont="1" applyFill="1" applyBorder="1" applyAlignment="1">
      <alignment horizontal="center" vertical="center" wrapText="1"/>
    </xf>
    <xf numFmtId="165" fontId="38" fillId="10" borderId="0" xfId="1" applyNumberFormat="1" applyFont="1" applyFill="1" applyBorder="1" applyAlignment="1">
      <alignment horizontal="center" vertical="center" wrapText="1"/>
    </xf>
    <xf numFmtId="9" fontId="38" fillId="10" borderId="20" xfId="1" applyFont="1" applyFill="1" applyBorder="1" applyAlignment="1">
      <alignment horizontal="center" vertical="center" wrapText="1"/>
    </xf>
    <xf numFmtId="165" fontId="38" fillId="10" borderId="21" xfId="1" applyNumberFormat="1" applyFont="1" applyFill="1" applyBorder="1" applyAlignment="1">
      <alignment horizontal="center" vertical="center" wrapText="1"/>
    </xf>
    <xf numFmtId="9" fontId="38" fillId="10" borderId="22" xfId="1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38" fillId="10" borderId="19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10" fontId="9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10" fontId="9" fillId="2" borderId="0" xfId="1" applyNumberFormat="1" applyFont="1" applyFill="1" applyBorder="1" applyAlignment="1">
      <alignment horizontal="center" vertical="center" wrapText="1"/>
    </xf>
    <xf numFmtId="9" fontId="38" fillId="10" borderId="19" xfId="1" applyFont="1" applyFill="1" applyBorder="1" applyAlignment="1">
      <alignment horizontal="center" vertical="center" wrapText="1"/>
    </xf>
    <xf numFmtId="9" fontId="38" fillId="10" borderId="15" xfId="1" applyFont="1" applyFill="1" applyBorder="1" applyAlignment="1">
      <alignment horizontal="center" vertical="center" wrapText="1"/>
    </xf>
    <xf numFmtId="171" fontId="38" fillId="10" borderId="0" xfId="2" applyNumberFormat="1" applyFont="1" applyFill="1" applyBorder="1" applyAlignment="1">
      <alignment horizontal="center" vertical="center" wrapText="1"/>
    </xf>
    <xf numFmtId="171" fontId="9" fillId="2" borderId="0" xfId="2" applyNumberFormat="1" applyFont="1" applyFill="1" applyBorder="1" applyAlignment="1">
      <alignment horizontal="center" vertical="center" wrapText="1"/>
    </xf>
    <xf numFmtId="43" fontId="23" fillId="2" borderId="20" xfId="0" applyNumberFormat="1" applyFont="1" applyFill="1" applyBorder="1" applyAlignment="1">
      <alignment horizontal="center" vertical="center"/>
    </xf>
    <xf numFmtId="43" fontId="9" fillId="3" borderId="16" xfId="0" applyNumberFormat="1" applyFont="1" applyFill="1" applyBorder="1" applyAlignment="1">
      <alignment horizontal="center" vertical="center" wrapText="1"/>
    </xf>
    <xf numFmtId="9" fontId="9" fillId="3" borderId="17" xfId="0" applyNumberFormat="1" applyFont="1" applyFill="1" applyBorder="1" applyAlignment="1">
      <alignment horizontal="center" vertical="center"/>
    </xf>
    <xf numFmtId="9" fontId="9" fillId="3" borderId="18" xfId="0" applyNumberFormat="1" applyFont="1" applyFill="1" applyBorder="1" applyAlignment="1">
      <alignment horizontal="center" vertical="center"/>
    </xf>
    <xf numFmtId="10" fontId="9" fillId="3" borderId="19" xfId="0" applyNumberFormat="1" applyFont="1" applyFill="1" applyBorder="1" applyAlignment="1">
      <alignment horizontal="center" vertical="center" wrapText="1"/>
    </xf>
    <xf numFmtId="9" fontId="9" fillId="3" borderId="19" xfId="0" applyNumberFormat="1" applyFont="1" applyFill="1" applyBorder="1" applyAlignment="1">
      <alignment horizontal="center" vertical="center" wrapText="1"/>
    </xf>
    <xf numFmtId="9" fontId="9" fillId="3" borderId="15" xfId="0" applyNumberFormat="1" applyFont="1" applyFill="1" applyBorder="1" applyAlignment="1">
      <alignment horizontal="center" vertical="center" wrapText="1"/>
    </xf>
    <xf numFmtId="174" fontId="40" fillId="2" borderId="0" xfId="2" applyNumberFormat="1" applyFont="1" applyFill="1" applyBorder="1" applyAlignment="1">
      <alignment horizontal="center" vertical="center"/>
    </xf>
    <xf numFmtId="174" fontId="40" fillId="2" borderId="21" xfId="2" applyNumberFormat="1" applyFont="1" applyFill="1" applyBorder="1" applyAlignment="1">
      <alignment horizontal="center" vertical="center"/>
    </xf>
    <xf numFmtId="174" fontId="40" fillId="2" borderId="20" xfId="2" applyNumberFormat="1" applyFont="1" applyFill="1" applyBorder="1" applyAlignment="1">
      <alignment horizontal="center" vertical="center"/>
    </xf>
    <xf numFmtId="174" fontId="40" fillId="2" borderId="22" xfId="2" applyNumberFormat="1" applyFont="1" applyFill="1" applyBorder="1" applyAlignment="1">
      <alignment horizontal="center" vertical="center"/>
    </xf>
    <xf numFmtId="174" fontId="41" fillId="2" borderId="0" xfId="2" applyNumberFormat="1" applyFont="1" applyFill="1" applyBorder="1" applyAlignment="1">
      <alignment horizontal="center" vertical="center"/>
    </xf>
    <xf numFmtId="174" fontId="41" fillId="2" borderId="20" xfId="2" applyNumberFormat="1" applyFont="1" applyFill="1" applyBorder="1" applyAlignment="1">
      <alignment horizontal="center" vertical="center"/>
    </xf>
    <xf numFmtId="165" fontId="9" fillId="3" borderId="17" xfId="0" applyNumberFormat="1" applyFont="1" applyFill="1" applyBorder="1" applyAlignment="1">
      <alignment horizontal="center" vertical="center"/>
    </xf>
    <xf numFmtId="174" fontId="27" fillId="2" borderId="0" xfId="2" applyNumberFormat="1" applyFont="1" applyFill="1" applyBorder="1" applyAlignment="1">
      <alignment horizontal="center" vertical="center"/>
    </xf>
    <xf numFmtId="0" fontId="23" fillId="2" borderId="32" xfId="0" applyFont="1" applyFill="1" applyBorder="1" applyAlignment="1">
      <alignment horizontal="center" vertical="center"/>
    </xf>
    <xf numFmtId="1" fontId="23" fillId="11" borderId="32" xfId="0" applyNumberFormat="1" applyFont="1" applyFill="1" applyBorder="1" applyAlignment="1">
      <alignment horizontal="center"/>
    </xf>
    <xf numFmtId="165" fontId="9" fillId="3" borderId="19" xfId="0" applyNumberFormat="1" applyFont="1" applyFill="1" applyBorder="1" applyAlignment="1">
      <alignment horizontal="center" vertical="center" wrapText="1"/>
    </xf>
    <xf numFmtId="165" fontId="9" fillId="3" borderId="15" xfId="0" applyNumberFormat="1" applyFont="1" applyFill="1" applyBorder="1" applyAlignment="1">
      <alignment horizontal="center" vertical="center" wrapText="1"/>
    </xf>
    <xf numFmtId="165" fontId="9" fillId="3" borderId="18" xfId="0" applyNumberFormat="1" applyFont="1" applyFill="1" applyBorder="1" applyAlignment="1">
      <alignment horizontal="center" vertical="center"/>
    </xf>
    <xf numFmtId="174" fontId="41" fillId="2" borderId="21" xfId="2" applyNumberFormat="1" applyFont="1" applyFill="1" applyBorder="1" applyAlignment="1">
      <alignment horizontal="center" vertical="center"/>
    </xf>
    <xf numFmtId="174" fontId="41" fillId="2" borderId="22" xfId="2" applyNumberFormat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14" fontId="14" fillId="9" borderId="35" xfId="0" applyNumberFormat="1" applyFont="1" applyFill="1" applyBorder="1" applyAlignment="1">
      <alignment horizontal="center" vertical="center" readingOrder="1"/>
    </xf>
    <xf numFmtId="14" fontId="14" fillId="9" borderId="34" xfId="0" applyNumberFormat="1" applyFont="1" applyFill="1" applyBorder="1" applyAlignment="1">
      <alignment horizontal="center" vertical="center" readingOrder="1"/>
    </xf>
    <xf numFmtId="14" fontId="14" fillId="9" borderId="33" xfId="0" applyNumberFormat="1" applyFont="1" applyFill="1" applyBorder="1" applyAlignment="1">
      <alignment horizontal="center" vertical="center" readingOrder="1"/>
    </xf>
    <xf numFmtId="14" fontId="14" fillId="9" borderId="36" xfId="0" applyNumberFormat="1" applyFont="1" applyFill="1" applyBorder="1" applyAlignment="1">
      <alignment horizontal="center" vertical="center" readingOrder="1"/>
    </xf>
    <xf numFmtId="0" fontId="14" fillId="6" borderId="1" xfId="0" applyFont="1" applyFill="1" applyBorder="1" applyAlignment="1">
      <alignment horizontal="center" vertical="center"/>
    </xf>
    <xf numFmtId="10" fontId="17" fillId="4" borderId="1" xfId="0" applyNumberFormat="1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0" fontId="36" fillId="0" borderId="31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</cellXfs>
  <cellStyles count="4">
    <cellStyle name="Comma" xfId="2" builtinId="3"/>
    <cellStyle name="Normal" xfId="0" builtinId="0"/>
    <cellStyle name="Percent" xfId="1" builtinId="5"/>
    <cellStyle name="היפר-קישור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EBITDA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EBIRDA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EBITDA!$D$8:$D$30</c:f>
              <c:numCache>
                <c:formatCode>General</c:formatCode>
                <c:ptCount val="23"/>
                <c:pt idx="0">
                  <c:v>2016</c:v>
                </c:pt>
                <c:pt idx="1">
                  <c:v>2015</c:v>
                </c:pt>
                <c:pt idx="2">
                  <c:v>2014</c:v>
                </c:pt>
                <c:pt idx="3">
                  <c:v>2013</c:v>
                </c:pt>
                <c:pt idx="4">
                  <c:v>2012</c:v>
                </c:pt>
                <c:pt idx="5">
                  <c:v>2011</c:v>
                </c:pt>
                <c:pt idx="6">
                  <c:v>2010</c:v>
                </c:pt>
                <c:pt idx="7">
                  <c:v>2009</c:v>
                </c:pt>
                <c:pt idx="8">
                  <c:v>2008</c:v>
                </c:pt>
                <c:pt idx="9">
                  <c:v>2007</c:v>
                </c:pt>
                <c:pt idx="10">
                  <c:v>2006</c:v>
                </c:pt>
                <c:pt idx="11">
                  <c:v>2005</c:v>
                </c:pt>
                <c:pt idx="12">
                  <c:v>2004</c:v>
                </c:pt>
                <c:pt idx="13">
                  <c:v>2003</c:v>
                </c:pt>
                <c:pt idx="14">
                  <c:v>2002</c:v>
                </c:pt>
                <c:pt idx="15">
                  <c:v>2001</c:v>
                </c:pt>
                <c:pt idx="16">
                  <c:v>2000</c:v>
                </c:pt>
                <c:pt idx="17">
                  <c:v>1999</c:v>
                </c:pt>
                <c:pt idx="18">
                  <c:v>1998</c:v>
                </c:pt>
                <c:pt idx="19">
                  <c:v>1997</c:v>
                </c:pt>
                <c:pt idx="20">
                  <c:v>1996</c:v>
                </c:pt>
                <c:pt idx="21">
                  <c:v>1995</c:v>
                </c:pt>
                <c:pt idx="22">
                  <c:v>1994</c:v>
                </c:pt>
              </c:numCache>
            </c:numRef>
          </c:cat>
          <c:val>
            <c:numRef>
              <c:f>EBITDA!$C$8:$C$30</c:f>
              <c:numCache>
                <c:formatCode>General</c:formatCode>
                <c:ptCount val="23"/>
                <c:pt idx="0">
                  <c:v>16564</c:v>
                </c:pt>
                <c:pt idx="1">
                  <c:v>12536</c:v>
                </c:pt>
                <c:pt idx="2">
                  <c:v>11316</c:v>
                </c:pt>
                <c:pt idx="3">
                  <c:v>11932</c:v>
                </c:pt>
                <c:pt idx="4">
                  <c:v>13456</c:v>
                </c:pt>
                <c:pt idx="5">
                  <c:v>5497</c:v>
                </c:pt>
                <c:pt idx="6">
                  <c:v>4698</c:v>
                </c:pt>
                <c:pt idx="7">
                  <c:v>-5136</c:v>
                </c:pt>
                <c:pt idx="8">
                  <c:v>-4263</c:v>
                </c:pt>
                <c:pt idx="9">
                  <c:v>11920</c:v>
                </c:pt>
                <c:pt idx="10">
                  <c:v>10662</c:v>
                </c:pt>
                <c:pt idx="11">
                  <c:v>8608</c:v>
                </c:pt>
                <c:pt idx="12">
                  <c:v>16035</c:v>
                </c:pt>
                <c:pt idx="13">
                  <c:v>9758</c:v>
                </c:pt>
                <c:pt idx="14">
                  <c:v>9326</c:v>
                </c:pt>
                <c:pt idx="15">
                  <c:v>13390</c:v>
                </c:pt>
                <c:pt idx="16">
                  <c:v>14405</c:v>
                </c:pt>
                <c:pt idx="17">
                  <c:v>15576</c:v>
                </c:pt>
                <c:pt idx="18">
                  <c:v>11096</c:v>
                </c:pt>
                <c:pt idx="19">
                  <c:v>16843</c:v>
                </c:pt>
                <c:pt idx="20">
                  <c:v>15899</c:v>
                </c:pt>
                <c:pt idx="21">
                  <c:v>15484</c:v>
                </c:pt>
                <c:pt idx="22">
                  <c:v>-1404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1F9-42BB-A5E4-8C4A179AE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846536"/>
        <c:axId val="611845552"/>
      </c:lineChart>
      <c:catAx>
        <c:axId val="61184653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11845552"/>
        <c:crosses val="autoZero"/>
        <c:auto val="1"/>
        <c:lblAlgn val="ctr"/>
        <c:lblOffset val="100"/>
        <c:noMultiLvlLbl val="0"/>
      </c:catAx>
      <c:valAx>
        <c:axId val="61184555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11846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תזרים!$B$5</c:f>
              <c:strCache>
                <c:ptCount val="1"/>
                <c:pt idx="0">
                  <c:v>רווח נקי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תזרים!$C$5:$Z$5</c:f>
              <c:numCache>
                <c:formatCode>#,##0_ ;[Red]\(#,##0\)</c:formatCode>
                <c:ptCount val="24"/>
                <c:pt idx="0">
                  <c:v>-9418</c:v>
                </c:pt>
                <c:pt idx="1">
                  <c:v>8184</c:v>
                </c:pt>
                <c:pt idx="2">
                  <c:v>6703</c:v>
                </c:pt>
                <c:pt idx="3">
                  <c:v>6231</c:v>
                </c:pt>
                <c:pt idx="4">
                  <c:v>78</c:v>
                </c:pt>
                <c:pt idx="5">
                  <c:v>-9588</c:v>
                </c:pt>
                <c:pt idx="6">
                  <c:v>-10768</c:v>
                </c:pt>
                <c:pt idx="7">
                  <c:v>-32119</c:v>
                </c:pt>
                <c:pt idx="8">
                  <c:v>-27955</c:v>
                </c:pt>
                <c:pt idx="9">
                  <c:v>-5217</c:v>
                </c:pt>
                <c:pt idx="10">
                  <c:v>757</c:v>
                </c:pt>
                <c:pt idx="11">
                  <c:v>-345</c:v>
                </c:pt>
                <c:pt idx="12">
                  <c:v>4052</c:v>
                </c:pt>
                <c:pt idx="13">
                  <c:v>2113</c:v>
                </c:pt>
                <c:pt idx="14">
                  <c:v>-1540</c:v>
                </c:pt>
                <c:pt idx="15">
                  <c:v>3543</c:v>
                </c:pt>
                <c:pt idx="16">
                  <c:v>5495</c:v>
                </c:pt>
                <c:pt idx="17">
                  <c:v>6046</c:v>
                </c:pt>
                <c:pt idx="18">
                  <c:v>2724</c:v>
                </c:pt>
                <c:pt idx="19">
                  <c:v>7755</c:v>
                </c:pt>
                <c:pt idx="20">
                  <c:v>8282</c:v>
                </c:pt>
                <c:pt idx="21">
                  <c:v>9672</c:v>
                </c:pt>
                <c:pt idx="22">
                  <c:v>-10025</c:v>
                </c:pt>
                <c:pt idx="23">
                  <c:v>1958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E5-459B-87F1-273F0088D425}"/>
            </c:ext>
          </c:extLst>
        </c:ser>
        <c:ser>
          <c:idx val="15"/>
          <c:order val="15"/>
          <c:tx>
            <c:strRef>
              <c:f>תזרים!$B$20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תזרים!$C$20:$Z$20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6E5-459B-87F1-273F0088D425}"/>
            </c:ext>
          </c:extLst>
        </c:ser>
        <c:ser>
          <c:idx val="16"/>
          <c:order val="16"/>
          <c:tx>
            <c:strRef>
              <c:f>תזרים!$B$21</c:f>
              <c:strCache>
                <c:ptCount val="1"/>
                <c:pt idx="0">
                  <c:v>סה"כ התאמות נדרשות לתזרים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תזרים!$C$21:$Z$21</c:f>
              <c:numCache>
                <c:formatCode>#,##0_ ;[Red]\(#,##0\)</c:formatCode>
                <c:ptCount val="24"/>
                <c:pt idx="0">
                  <c:v>35562</c:v>
                </c:pt>
                <c:pt idx="1">
                  <c:v>-31174</c:v>
                </c:pt>
                <c:pt idx="2">
                  <c:v>6611</c:v>
                </c:pt>
                <c:pt idx="3">
                  <c:v>7437</c:v>
                </c:pt>
                <c:pt idx="4">
                  <c:v>20147</c:v>
                </c:pt>
                <c:pt idx="5">
                  <c:v>14129</c:v>
                </c:pt>
                <c:pt idx="6">
                  <c:v>17716</c:v>
                </c:pt>
                <c:pt idx="7">
                  <c:v>57501</c:v>
                </c:pt>
                <c:pt idx="8">
                  <c:v>21205</c:v>
                </c:pt>
                <c:pt idx="9">
                  <c:v>6347</c:v>
                </c:pt>
                <c:pt idx="10">
                  <c:v>15069</c:v>
                </c:pt>
                <c:pt idx="11">
                  <c:v>-9217</c:v>
                </c:pt>
                <c:pt idx="12">
                  <c:v>6769</c:v>
                </c:pt>
                <c:pt idx="13">
                  <c:v>-1211</c:v>
                </c:pt>
                <c:pt idx="14">
                  <c:v>5724</c:v>
                </c:pt>
                <c:pt idx="15">
                  <c:v>9518</c:v>
                </c:pt>
                <c:pt idx="16">
                  <c:v>-3289</c:v>
                </c:pt>
                <c:pt idx="17">
                  <c:v>-5223</c:v>
                </c:pt>
                <c:pt idx="18">
                  <c:v>512</c:v>
                </c:pt>
                <c:pt idx="19">
                  <c:v>-3185</c:v>
                </c:pt>
                <c:pt idx="20">
                  <c:v>2430</c:v>
                </c:pt>
                <c:pt idx="21">
                  <c:v>4433</c:v>
                </c:pt>
                <c:pt idx="22">
                  <c:v>23817</c:v>
                </c:pt>
                <c:pt idx="23">
                  <c:v>-97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6E5-459B-87F1-273F0088D425}"/>
            </c:ext>
          </c:extLst>
        </c:ser>
        <c:ser>
          <c:idx val="17"/>
          <c:order val="17"/>
          <c:tx>
            <c:strRef>
              <c:f>תזרים!$B$22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תזרים!$C$22:$Z$22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6E5-459B-87F1-273F0088D425}"/>
            </c:ext>
          </c:extLst>
        </c:ser>
        <c:ser>
          <c:idx val="18"/>
          <c:order val="18"/>
          <c:tx>
            <c:strRef>
              <c:f>תזרים!$B$23</c:f>
              <c:strCache>
                <c:ptCount val="1"/>
                <c:pt idx="0">
                  <c:v>סה"כ תזרים מזומנים מפעילות שוטפת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תזרים!$C$23:$Z$23</c:f>
              <c:numCache>
                <c:formatCode>#,##0_ ;[Red]\(#,##0\)</c:formatCode>
                <c:ptCount val="24"/>
                <c:pt idx="0">
                  <c:v>26144</c:v>
                </c:pt>
                <c:pt idx="1">
                  <c:v>-22990</c:v>
                </c:pt>
                <c:pt idx="2">
                  <c:v>13314</c:v>
                </c:pt>
                <c:pt idx="3">
                  <c:v>13668</c:v>
                </c:pt>
                <c:pt idx="4">
                  <c:v>20225</c:v>
                </c:pt>
                <c:pt idx="5">
                  <c:v>4541</c:v>
                </c:pt>
                <c:pt idx="6">
                  <c:v>6948</c:v>
                </c:pt>
                <c:pt idx="7">
                  <c:v>25382</c:v>
                </c:pt>
                <c:pt idx="8">
                  <c:v>-6750</c:v>
                </c:pt>
                <c:pt idx="9">
                  <c:v>1130</c:v>
                </c:pt>
                <c:pt idx="10">
                  <c:v>15826</c:v>
                </c:pt>
                <c:pt idx="11">
                  <c:v>-9562</c:v>
                </c:pt>
                <c:pt idx="12">
                  <c:v>10821</c:v>
                </c:pt>
                <c:pt idx="13">
                  <c:v>902</c:v>
                </c:pt>
                <c:pt idx="14">
                  <c:v>4184</c:v>
                </c:pt>
                <c:pt idx="15">
                  <c:v>13061</c:v>
                </c:pt>
                <c:pt idx="16">
                  <c:v>2206</c:v>
                </c:pt>
                <c:pt idx="17">
                  <c:v>823</c:v>
                </c:pt>
                <c:pt idx="18">
                  <c:v>3236</c:v>
                </c:pt>
                <c:pt idx="19">
                  <c:v>4570</c:v>
                </c:pt>
                <c:pt idx="20">
                  <c:v>10712</c:v>
                </c:pt>
                <c:pt idx="21">
                  <c:v>14105</c:v>
                </c:pt>
                <c:pt idx="22">
                  <c:v>13792</c:v>
                </c:pt>
                <c:pt idx="23">
                  <c:v>1861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6E5-459B-87F1-273F0088D425}"/>
            </c:ext>
          </c:extLst>
        </c:ser>
        <c:ser>
          <c:idx val="19"/>
          <c:order val="19"/>
          <c:tx>
            <c:strRef>
              <c:f>תזרים!$B$24</c:f>
              <c:strCache>
                <c:ptCount val="1"/>
                <c:pt idx="0">
                  <c:v>קניית בטוחות סחירות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תזרים!$C$24:$Z$24</c:f>
              <c:numCache>
                <c:formatCode>#,##0_ ;[Red]\(#,##0\)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-6244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-40</c:v>
                </c:pt>
                <c:pt idx="17">
                  <c:v>-6174</c:v>
                </c:pt>
                <c:pt idx="18">
                  <c:v>-30794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6E5-459B-87F1-273F0088D425}"/>
            </c:ext>
          </c:extLst>
        </c:ser>
        <c:ser>
          <c:idx val="20"/>
          <c:order val="20"/>
          <c:tx>
            <c:strRef>
              <c:f>תזרים!$B$25</c:f>
              <c:strCache>
                <c:ptCount val="1"/>
                <c:pt idx="0">
                  <c:v>מכירת בטוחות סחירות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תזרים!$C$25:$Z$25</c:f>
              <c:numCache>
                <c:formatCode>#,##0_ ;[Red]\(#,##0\)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6309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21439</c:v>
                </c:pt>
                <c:pt idx="18">
                  <c:v>15327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6E5-459B-87F1-273F0088D425}"/>
            </c:ext>
          </c:extLst>
        </c:ser>
        <c:ser>
          <c:idx val="21"/>
          <c:order val="21"/>
          <c:tx>
            <c:strRef>
              <c:f>תזרים!$B$26</c:f>
              <c:strCache>
                <c:ptCount val="1"/>
                <c:pt idx="0">
                  <c:v>השקעה נטו בבטוחות סחירות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תזרים!$C$26:$Z$26</c:f>
              <c:numCache>
                <c:formatCode>#,##0_ ;[Red]\(#,##0\)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6309</c:v>
                </c:pt>
                <c:pt idx="11">
                  <c:v>-6244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-40</c:v>
                </c:pt>
                <c:pt idx="17">
                  <c:v>15265</c:v>
                </c:pt>
                <c:pt idx="18">
                  <c:v>-15467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6E5-459B-87F1-273F0088D425}"/>
            </c:ext>
          </c:extLst>
        </c:ser>
        <c:ser>
          <c:idx val="22"/>
          <c:order val="22"/>
          <c:tx>
            <c:strRef>
              <c:f>תזרים!$B$27</c:f>
              <c:strCache>
                <c:ptCount val="1"/>
                <c:pt idx="0">
                  <c:v>מתן הלוואות לזמן קצר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תזרים!$C$27:$Z$27</c:f>
              <c:numCache>
                <c:formatCode>#,##0_ ;[Red]\(#,##0\)</c:formatCode>
                <c:ptCount val="24"/>
                <c:pt idx="0">
                  <c:v>-283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6E5-459B-87F1-273F0088D425}"/>
            </c:ext>
          </c:extLst>
        </c:ser>
        <c:ser>
          <c:idx val="23"/>
          <c:order val="23"/>
          <c:tx>
            <c:strRef>
              <c:f>תזרים!$B$28</c:f>
              <c:strCache>
                <c:ptCount val="1"/>
                <c:pt idx="0">
                  <c:v>גביית הלוואות לזמן קצר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תזרים!$C$28:$Z$28</c:f>
              <c:numCache>
                <c:formatCode>#,##0_ ;[Red]\(#,##0\)</c:formatCode>
                <c:ptCount val="24"/>
                <c:pt idx="0">
                  <c:v>0</c:v>
                </c:pt>
                <c:pt idx="1">
                  <c:v>112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6E5-459B-87F1-273F0088D425}"/>
            </c:ext>
          </c:extLst>
        </c:ser>
        <c:ser>
          <c:idx val="24"/>
          <c:order val="24"/>
          <c:tx>
            <c:strRef>
              <c:f>תזרים!$B$29</c:f>
              <c:strCache>
                <c:ptCount val="1"/>
                <c:pt idx="0">
                  <c:v>השקעה נטו בהלוואות זמן קצר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תזרים!$C$29:$Z$29</c:f>
              <c:numCache>
                <c:formatCode>#,##0_ ;[Red]\(#,##0\)</c:formatCode>
                <c:ptCount val="24"/>
                <c:pt idx="0">
                  <c:v>-283</c:v>
                </c:pt>
                <c:pt idx="1">
                  <c:v>112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6E5-459B-87F1-273F0088D425}"/>
            </c:ext>
          </c:extLst>
        </c:ser>
        <c:ser>
          <c:idx val="25"/>
          <c:order val="25"/>
          <c:tx>
            <c:strRef>
              <c:f>תזרים!$B$30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תזרים!$C$30:$Z$30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6E5-459B-87F1-273F0088D425}"/>
            </c:ext>
          </c:extLst>
        </c:ser>
        <c:ser>
          <c:idx val="26"/>
          <c:order val="26"/>
          <c:tx>
            <c:strRef>
              <c:f>תזרים!$B$31</c:f>
              <c:strCache>
                <c:ptCount val="1"/>
                <c:pt idx="0">
                  <c:v>הלוואות לזמן ארוך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תזרים!$C$31:$Z$31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6E5-459B-87F1-273F0088D425}"/>
            </c:ext>
          </c:extLst>
        </c:ser>
        <c:ser>
          <c:idx val="27"/>
          <c:order val="27"/>
          <c:tx>
            <c:strRef>
              <c:f>תזרים!$B$32</c:f>
              <c:strCache>
                <c:ptCount val="1"/>
                <c:pt idx="0">
                  <c:v>מתן הלוואות לזמן ארוך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תזרים!$C$32:$Z$32</c:f>
              <c:numCache>
                <c:formatCode>#,##0_ ;[Red]\(#,##0\)</c:formatCode>
                <c:ptCount val="24"/>
                <c:pt idx="0">
                  <c:v>-286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-11</c:v>
                </c:pt>
                <c:pt idx="9">
                  <c:v>-47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-159</c:v>
                </c:pt>
                <c:pt idx="17">
                  <c:v>0</c:v>
                </c:pt>
                <c:pt idx="18">
                  <c:v>-913</c:v>
                </c:pt>
                <c:pt idx="19">
                  <c:v>0</c:v>
                </c:pt>
                <c:pt idx="20">
                  <c:v>-204</c:v>
                </c:pt>
                <c:pt idx="21">
                  <c:v>-119</c:v>
                </c:pt>
                <c:pt idx="22">
                  <c:v>-214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6E5-459B-87F1-273F0088D425}"/>
            </c:ext>
          </c:extLst>
        </c:ser>
        <c:ser>
          <c:idx val="28"/>
          <c:order val="28"/>
          <c:tx>
            <c:strRef>
              <c:f>תזרים!$B$33</c:f>
              <c:strCache>
                <c:ptCount val="1"/>
                <c:pt idx="0">
                  <c:v>גביית הלוואות לזמן ארוך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תזרים!$C$33:$Z$33</c:f>
              <c:numCache>
                <c:formatCode>#,##0_ ;[Red]\(#,##0\)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25</c:v>
                </c:pt>
                <c:pt idx="13">
                  <c:v>24</c:v>
                </c:pt>
                <c:pt idx="14">
                  <c:v>49</c:v>
                </c:pt>
                <c:pt idx="15">
                  <c:v>53</c:v>
                </c:pt>
                <c:pt idx="16">
                  <c:v>1056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835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6E5-459B-87F1-273F0088D425}"/>
            </c:ext>
          </c:extLst>
        </c:ser>
        <c:ser>
          <c:idx val="29"/>
          <c:order val="29"/>
          <c:tx>
            <c:strRef>
              <c:f>תזרים!$B$34</c:f>
              <c:strCache>
                <c:ptCount val="1"/>
                <c:pt idx="0">
                  <c:v>השקעה נטו בהלוואות זמן ארוך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תזרים!$C$34:$Z$34</c:f>
              <c:numCache>
                <c:formatCode>#,##0_ ;[Red]\(#,##0\)</c:formatCode>
                <c:ptCount val="24"/>
                <c:pt idx="0">
                  <c:v>-286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-11</c:v>
                </c:pt>
                <c:pt idx="9">
                  <c:v>-47</c:v>
                </c:pt>
                <c:pt idx="10">
                  <c:v>0</c:v>
                </c:pt>
                <c:pt idx="11">
                  <c:v>0</c:v>
                </c:pt>
                <c:pt idx="12">
                  <c:v>25</c:v>
                </c:pt>
                <c:pt idx="13">
                  <c:v>24</c:v>
                </c:pt>
                <c:pt idx="14">
                  <c:v>49</c:v>
                </c:pt>
                <c:pt idx="15">
                  <c:v>53</c:v>
                </c:pt>
                <c:pt idx="16">
                  <c:v>897</c:v>
                </c:pt>
                <c:pt idx="17">
                  <c:v>0</c:v>
                </c:pt>
                <c:pt idx="18">
                  <c:v>-913</c:v>
                </c:pt>
                <c:pt idx="19">
                  <c:v>0</c:v>
                </c:pt>
                <c:pt idx="20">
                  <c:v>-204</c:v>
                </c:pt>
                <c:pt idx="21">
                  <c:v>716</c:v>
                </c:pt>
                <c:pt idx="22">
                  <c:v>-214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06E5-459B-87F1-273F0088D425}"/>
            </c:ext>
          </c:extLst>
        </c:ser>
        <c:ser>
          <c:idx val="30"/>
          <c:order val="30"/>
          <c:tx>
            <c:strRef>
              <c:f>תזרים!$B$35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תזרים!$C$35:$Z$35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06E5-459B-87F1-273F0088D425}"/>
            </c:ext>
          </c:extLst>
        </c:ser>
        <c:ser>
          <c:idx val="31"/>
          <c:order val="31"/>
          <c:tx>
            <c:strRef>
              <c:f>תזרים!$B$36</c:f>
              <c:strCache>
                <c:ptCount val="1"/>
                <c:pt idx="0">
                  <c:v>סה"כ השקעה בניירות ערך והלוואות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תזרים!$C$36:$Z$36</c:f>
              <c:numCache>
                <c:formatCode>#,##0_ ;[Red]\(#,##0\)</c:formatCode>
                <c:ptCount val="24"/>
                <c:pt idx="0">
                  <c:v>-569</c:v>
                </c:pt>
                <c:pt idx="1">
                  <c:v>112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-11</c:v>
                </c:pt>
                <c:pt idx="9">
                  <c:v>-47</c:v>
                </c:pt>
                <c:pt idx="10">
                  <c:v>6309</c:v>
                </c:pt>
                <c:pt idx="11">
                  <c:v>-6244</c:v>
                </c:pt>
                <c:pt idx="12">
                  <c:v>25</c:v>
                </c:pt>
                <c:pt idx="13">
                  <c:v>24</c:v>
                </c:pt>
                <c:pt idx="14">
                  <c:v>49</c:v>
                </c:pt>
                <c:pt idx="15">
                  <c:v>53</c:v>
                </c:pt>
                <c:pt idx="16">
                  <c:v>857</c:v>
                </c:pt>
                <c:pt idx="17">
                  <c:v>15265</c:v>
                </c:pt>
                <c:pt idx="18">
                  <c:v>-16380</c:v>
                </c:pt>
                <c:pt idx="19">
                  <c:v>0</c:v>
                </c:pt>
                <c:pt idx="20">
                  <c:v>-204</c:v>
                </c:pt>
                <c:pt idx="21">
                  <c:v>716</c:v>
                </c:pt>
                <c:pt idx="22">
                  <c:v>-214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06E5-459B-87F1-273F0088D425}"/>
            </c:ext>
          </c:extLst>
        </c:ser>
        <c:ser>
          <c:idx val="32"/>
          <c:order val="32"/>
          <c:tx>
            <c:strRef>
              <c:f>תזרים!$B$37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תזרים!$C$37:$Z$37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06E5-459B-87F1-273F0088D425}"/>
            </c:ext>
          </c:extLst>
        </c:ser>
        <c:ser>
          <c:idx val="33"/>
          <c:order val="33"/>
          <c:tx>
            <c:strRef>
              <c:f>תזרים!$B$38</c:f>
              <c:strCache>
                <c:ptCount val="1"/>
                <c:pt idx="0">
                  <c:v>השקעה בחברות ברכוש קבוע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תזרים!$C$38:$Z$38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06E5-459B-87F1-273F0088D425}"/>
            </c:ext>
          </c:extLst>
        </c:ser>
        <c:ser>
          <c:idx val="34"/>
          <c:order val="34"/>
          <c:tx>
            <c:strRef>
              <c:f>תזרים!$B$39</c:f>
              <c:strCache>
                <c:ptCount val="1"/>
                <c:pt idx="0">
                  <c:v>רכוש קבוע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תזרים!$C$39:$Z$39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06E5-459B-87F1-273F0088D425}"/>
            </c:ext>
          </c:extLst>
        </c:ser>
        <c:ser>
          <c:idx val="35"/>
          <c:order val="35"/>
          <c:tx>
            <c:strRef>
              <c:f>תזרים!$B$40</c:f>
              <c:strCache>
                <c:ptCount val="1"/>
                <c:pt idx="0">
                  <c:v>רכישת רכוש קבוע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תזרים!$C$40:$Z$40</c:f>
              <c:numCache>
                <c:formatCode>#,##0_ ;[Red]\(#,##0\)</c:formatCode>
                <c:ptCount val="24"/>
                <c:pt idx="0">
                  <c:v>-5501</c:v>
                </c:pt>
                <c:pt idx="1">
                  <c:v>-5377</c:v>
                </c:pt>
                <c:pt idx="2">
                  <c:v>-6425</c:v>
                </c:pt>
                <c:pt idx="3">
                  <c:v>-2379</c:v>
                </c:pt>
                <c:pt idx="4">
                  <c:v>-1154</c:v>
                </c:pt>
                <c:pt idx="5">
                  <c:v>-852</c:v>
                </c:pt>
                <c:pt idx="6">
                  <c:v>-1374</c:v>
                </c:pt>
                <c:pt idx="7">
                  <c:v>-5125</c:v>
                </c:pt>
                <c:pt idx="8">
                  <c:v>-8078</c:v>
                </c:pt>
                <c:pt idx="9">
                  <c:v>-6787</c:v>
                </c:pt>
                <c:pt idx="10">
                  <c:v>-4570</c:v>
                </c:pt>
                <c:pt idx="11">
                  <c:v>-1214</c:v>
                </c:pt>
                <c:pt idx="12">
                  <c:v>-1657</c:v>
                </c:pt>
                <c:pt idx="13">
                  <c:v>-567</c:v>
                </c:pt>
                <c:pt idx="14">
                  <c:v>-507</c:v>
                </c:pt>
                <c:pt idx="15">
                  <c:v>-6237</c:v>
                </c:pt>
                <c:pt idx="16">
                  <c:v>-18022</c:v>
                </c:pt>
                <c:pt idx="17">
                  <c:v>-1837</c:v>
                </c:pt>
                <c:pt idx="18">
                  <c:v>-6087</c:v>
                </c:pt>
                <c:pt idx="19">
                  <c:v>-2195</c:v>
                </c:pt>
                <c:pt idx="20">
                  <c:v>-2690</c:v>
                </c:pt>
                <c:pt idx="21">
                  <c:v>-15011</c:v>
                </c:pt>
                <c:pt idx="22">
                  <c:v>-2327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06E5-459B-87F1-273F0088D425}"/>
            </c:ext>
          </c:extLst>
        </c:ser>
        <c:ser>
          <c:idx val="36"/>
          <c:order val="36"/>
          <c:tx>
            <c:strRef>
              <c:f>תזרים!$B$41</c:f>
              <c:strCache>
                <c:ptCount val="1"/>
                <c:pt idx="0">
                  <c:v>מימוש רכוש קבוע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תזרים!$C$41:$Z$41</c:f>
              <c:numCache>
                <c:formatCode>#,##0_ ;[Red]\(#,##0\)</c:formatCode>
                <c:ptCount val="24"/>
                <c:pt idx="0">
                  <c:v>447</c:v>
                </c:pt>
                <c:pt idx="1">
                  <c:v>10</c:v>
                </c:pt>
                <c:pt idx="2">
                  <c:v>7</c:v>
                </c:pt>
                <c:pt idx="3">
                  <c:v>195</c:v>
                </c:pt>
                <c:pt idx="4">
                  <c:v>172</c:v>
                </c:pt>
                <c:pt idx="5">
                  <c:v>216</c:v>
                </c:pt>
                <c:pt idx="6">
                  <c:v>217</c:v>
                </c:pt>
                <c:pt idx="7">
                  <c:v>4194</c:v>
                </c:pt>
                <c:pt idx="8">
                  <c:v>2089</c:v>
                </c:pt>
                <c:pt idx="9">
                  <c:v>610</c:v>
                </c:pt>
                <c:pt idx="10">
                  <c:v>409</c:v>
                </c:pt>
                <c:pt idx="11">
                  <c:v>353</c:v>
                </c:pt>
                <c:pt idx="12">
                  <c:v>370</c:v>
                </c:pt>
                <c:pt idx="13">
                  <c:v>164</c:v>
                </c:pt>
                <c:pt idx="14">
                  <c:v>79</c:v>
                </c:pt>
                <c:pt idx="15">
                  <c:v>411</c:v>
                </c:pt>
                <c:pt idx="16">
                  <c:v>498</c:v>
                </c:pt>
                <c:pt idx="17">
                  <c:v>310</c:v>
                </c:pt>
                <c:pt idx="18">
                  <c:v>286</c:v>
                </c:pt>
                <c:pt idx="19">
                  <c:v>368</c:v>
                </c:pt>
                <c:pt idx="20">
                  <c:v>5</c:v>
                </c:pt>
                <c:pt idx="21">
                  <c:v>524</c:v>
                </c:pt>
                <c:pt idx="22">
                  <c:v>112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06E5-459B-87F1-273F0088D425}"/>
            </c:ext>
          </c:extLst>
        </c:ser>
        <c:ser>
          <c:idx val="37"/>
          <c:order val="37"/>
          <c:tx>
            <c:strRef>
              <c:f>תזרים!$B$42</c:f>
              <c:strCache>
                <c:ptCount val="1"/>
                <c:pt idx="0">
                  <c:v>השקעה ברכוש קבוע נטו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תזרים!$C$42:$Z$42</c:f>
              <c:numCache>
                <c:formatCode>#,##0_ ;[Red]\(#,##0\)</c:formatCode>
                <c:ptCount val="24"/>
                <c:pt idx="0">
                  <c:v>-5054</c:v>
                </c:pt>
                <c:pt idx="1">
                  <c:v>-5367</c:v>
                </c:pt>
                <c:pt idx="2">
                  <c:v>-6418</c:v>
                </c:pt>
                <c:pt idx="3">
                  <c:v>-2184</c:v>
                </c:pt>
                <c:pt idx="4">
                  <c:v>-982</c:v>
                </c:pt>
                <c:pt idx="5">
                  <c:v>-636</c:v>
                </c:pt>
                <c:pt idx="6">
                  <c:v>-1157</c:v>
                </c:pt>
                <c:pt idx="7">
                  <c:v>-931</c:v>
                </c:pt>
                <c:pt idx="8">
                  <c:v>-5989</c:v>
                </c:pt>
                <c:pt idx="9">
                  <c:v>-6177</c:v>
                </c:pt>
                <c:pt idx="10">
                  <c:v>-4161</c:v>
                </c:pt>
                <c:pt idx="11">
                  <c:v>-861</c:v>
                </c:pt>
                <c:pt idx="12">
                  <c:v>-1287</c:v>
                </c:pt>
                <c:pt idx="13">
                  <c:v>-403</c:v>
                </c:pt>
                <c:pt idx="14">
                  <c:v>-428</c:v>
                </c:pt>
                <c:pt idx="15">
                  <c:v>-5826</c:v>
                </c:pt>
                <c:pt idx="16">
                  <c:v>-17524</c:v>
                </c:pt>
                <c:pt idx="17">
                  <c:v>-1527</c:v>
                </c:pt>
                <c:pt idx="18">
                  <c:v>-5801</c:v>
                </c:pt>
                <c:pt idx="19">
                  <c:v>-1827</c:v>
                </c:pt>
                <c:pt idx="20">
                  <c:v>-2685</c:v>
                </c:pt>
                <c:pt idx="21">
                  <c:v>-14487</c:v>
                </c:pt>
                <c:pt idx="22">
                  <c:v>-2215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06E5-459B-87F1-273F0088D425}"/>
            </c:ext>
          </c:extLst>
        </c:ser>
        <c:ser>
          <c:idx val="38"/>
          <c:order val="38"/>
          <c:tx>
            <c:strRef>
              <c:f>תזרים!$B$43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תזרים!$C$43:$Z$43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06E5-459B-87F1-273F0088D425}"/>
            </c:ext>
          </c:extLst>
        </c:ser>
        <c:ser>
          <c:idx val="39"/>
          <c:order val="39"/>
          <c:tx>
            <c:strRef>
              <c:f>תזרים!$B$44</c:f>
              <c:strCache>
                <c:ptCount val="1"/>
                <c:pt idx="0">
                  <c:v>חברות בנות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תזרים!$C$44:$Z$44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06E5-459B-87F1-273F0088D425}"/>
            </c:ext>
          </c:extLst>
        </c:ser>
        <c:ser>
          <c:idx val="40"/>
          <c:order val="40"/>
          <c:tx>
            <c:strRef>
              <c:f>תזרים!$B$45</c:f>
              <c:strCache>
                <c:ptCount val="1"/>
                <c:pt idx="0">
                  <c:v>רכישת חברות בנות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תזרים!$C$45:$Z$45</c:f>
              <c:numCache>
                <c:formatCode>#,##0_ ;[Red]\(#,##0\)</c:formatCode>
                <c:ptCount val="24"/>
                <c:pt idx="0">
                  <c:v>0</c:v>
                </c:pt>
                <c:pt idx="1">
                  <c:v>-4347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402</c:v>
                </c:pt>
                <c:pt idx="8">
                  <c:v>0</c:v>
                </c:pt>
                <c:pt idx="9">
                  <c:v>-1088</c:v>
                </c:pt>
                <c:pt idx="10">
                  <c:v>-444</c:v>
                </c:pt>
                <c:pt idx="11">
                  <c:v>-1883</c:v>
                </c:pt>
                <c:pt idx="12">
                  <c:v>-500</c:v>
                </c:pt>
                <c:pt idx="13">
                  <c:v>-5250</c:v>
                </c:pt>
                <c:pt idx="14">
                  <c:v>-859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06E5-459B-87F1-273F0088D425}"/>
            </c:ext>
          </c:extLst>
        </c:ser>
        <c:ser>
          <c:idx val="41"/>
          <c:order val="41"/>
          <c:tx>
            <c:strRef>
              <c:f>תזרים!$B$46</c:f>
              <c:strCache>
                <c:ptCount val="1"/>
                <c:pt idx="0">
                  <c:v>מימוש חברות בנות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תזרים!$C$46:$Z$46</c:f>
              <c:numCache>
                <c:formatCode>#,##0_ ;[Red]\(#,##0\)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171</c:v>
                </c:pt>
                <c:pt idx="10">
                  <c:v>0</c:v>
                </c:pt>
                <c:pt idx="11">
                  <c:v>341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93</c:v>
                </c:pt>
                <c:pt idx="16">
                  <c:v>71</c:v>
                </c:pt>
                <c:pt idx="17">
                  <c:v>137</c:v>
                </c:pt>
                <c:pt idx="18">
                  <c:v>161</c:v>
                </c:pt>
                <c:pt idx="19">
                  <c:v>338</c:v>
                </c:pt>
                <c:pt idx="20">
                  <c:v>47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06E5-459B-87F1-273F0088D425}"/>
            </c:ext>
          </c:extLst>
        </c:ser>
        <c:ser>
          <c:idx val="42"/>
          <c:order val="42"/>
          <c:tx>
            <c:strRef>
              <c:f>תזרים!$B$47</c:f>
              <c:strCache>
                <c:ptCount val="1"/>
                <c:pt idx="0">
                  <c:v>השקעה בבנות ומאוחדות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תזרים!$C$47:$Z$47</c:f>
              <c:numCache>
                <c:formatCode>#,##0_ ;[Red]\(#,##0\)</c:formatCode>
                <c:ptCount val="24"/>
                <c:pt idx="0">
                  <c:v>0</c:v>
                </c:pt>
                <c:pt idx="1">
                  <c:v>-4347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402</c:v>
                </c:pt>
                <c:pt idx="8">
                  <c:v>0</c:v>
                </c:pt>
                <c:pt idx="9">
                  <c:v>-917</c:v>
                </c:pt>
                <c:pt idx="10">
                  <c:v>-444</c:v>
                </c:pt>
                <c:pt idx="11">
                  <c:v>-1542</c:v>
                </c:pt>
                <c:pt idx="12">
                  <c:v>-500</c:v>
                </c:pt>
                <c:pt idx="13">
                  <c:v>-5250</c:v>
                </c:pt>
                <c:pt idx="14">
                  <c:v>-859</c:v>
                </c:pt>
                <c:pt idx="15">
                  <c:v>93</c:v>
                </c:pt>
                <c:pt idx="16">
                  <c:v>71</c:v>
                </c:pt>
                <c:pt idx="17">
                  <c:v>137</c:v>
                </c:pt>
                <c:pt idx="18">
                  <c:v>161</c:v>
                </c:pt>
                <c:pt idx="19">
                  <c:v>338</c:v>
                </c:pt>
                <c:pt idx="20">
                  <c:v>47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06E5-459B-87F1-273F0088D425}"/>
            </c:ext>
          </c:extLst>
        </c:ser>
        <c:ser>
          <c:idx val="43"/>
          <c:order val="43"/>
          <c:tx>
            <c:strRef>
              <c:f>תזרים!$B$48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תזרים!$C$48:$Z$48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06E5-459B-87F1-273F0088D425}"/>
            </c:ext>
          </c:extLst>
        </c:ser>
        <c:ser>
          <c:idx val="44"/>
          <c:order val="44"/>
          <c:tx>
            <c:strRef>
              <c:f>תזרים!$B$49</c:f>
              <c:strCache>
                <c:ptCount val="1"/>
                <c:pt idx="0">
                  <c:v>סה"כ השקעה בחברות ברכוש קבוע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תזרים!$C$49:$Z$49</c:f>
              <c:numCache>
                <c:formatCode>#,##0_ ;[Red]\(#,##0\)</c:formatCode>
                <c:ptCount val="24"/>
                <c:pt idx="0">
                  <c:v>-5054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06E5-459B-87F1-273F0088D425}"/>
            </c:ext>
          </c:extLst>
        </c:ser>
        <c:ser>
          <c:idx val="45"/>
          <c:order val="45"/>
          <c:tx>
            <c:strRef>
              <c:f>תזרים!$B$50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תזרים!$C$50:$Z$50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06E5-459B-87F1-273F0088D425}"/>
            </c:ext>
          </c:extLst>
        </c:ser>
        <c:ser>
          <c:idx val="46"/>
          <c:order val="46"/>
          <c:tx>
            <c:strRef>
              <c:f>תזרים!$B$51</c:f>
              <c:strCache>
                <c:ptCount val="1"/>
                <c:pt idx="0">
                  <c:v>תזרים מהשקעה אחר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תזרים!$C$51:$Z$51</c:f>
              <c:numCache>
                <c:formatCode>#,##0_ ;[Red]\(#,##0\)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-8</c:v>
                </c:pt>
                <c:pt idx="3">
                  <c:v>0</c:v>
                </c:pt>
                <c:pt idx="4">
                  <c:v>-125</c:v>
                </c:pt>
                <c:pt idx="5">
                  <c:v>-139</c:v>
                </c:pt>
                <c:pt idx="6">
                  <c:v>600</c:v>
                </c:pt>
                <c:pt idx="7">
                  <c:v>0</c:v>
                </c:pt>
                <c:pt idx="8">
                  <c:v>-3554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46</c:v>
                </c:pt>
                <c:pt idx="13">
                  <c:v>-4000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-1244</c:v>
                </c:pt>
                <c:pt idx="22">
                  <c:v>-796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06E5-459B-87F1-273F0088D425}"/>
            </c:ext>
          </c:extLst>
        </c:ser>
        <c:ser>
          <c:idx val="47"/>
          <c:order val="47"/>
          <c:tx>
            <c:strRef>
              <c:f>תזרים!$B$52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תזרים!$C$52:$Z$52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06E5-459B-87F1-273F0088D425}"/>
            </c:ext>
          </c:extLst>
        </c:ser>
        <c:ser>
          <c:idx val="48"/>
          <c:order val="48"/>
          <c:tx>
            <c:strRef>
              <c:f>תזרים!$B$53</c:f>
              <c:strCache>
                <c:ptCount val="1"/>
                <c:pt idx="0">
                  <c:v>סה"כ תזרים מזומנים מפעילות השקעה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תזרים!$C$53:$Z$53</c:f>
              <c:numCache>
                <c:formatCode>#,##0_ ;[Red]\(#,##0\)</c:formatCode>
                <c:ptCount val="24"/>
                <c:pt idx="0">
                  <c:v>-5623</c:v>
                </c:pt>
                <c:pt idx="1">
                  <c:v>-9602</c:v>
                </c:pt>
                <c:pt idx="2">
                  <c:v>-6426</c:v>
                </c:pt>
                <c:pt idx="3">
                  <c:v>-2184</c:v>
                </c:pt>
                <c:pt idx="4">
                  <c:v>-1107</c:v>
                </c:pt>
                <c:pt idx="5">
                  <c:v>-775</c:v>
                </c:pt>
                <c:pt idx="6">
                  <c:v>-557</c:v>
                </c:pt>
                <c:pt idx="7">
                  <c:v>-529</c:v>
                </c:pt>
                <c:pt idx="8">
                  <c:v>-9554</c:v>
                </c:pt>
                <c:pt idx="9">
                  <c:v>-7141</c:v>
                </c:pt>
                <c:pt idx="10">
                  <c:v>1704</c:v>
                </c:pt>
                <c:pt idx="11">
                  <c:v>-8647</c:v>
                </c:pt>
                <c:pt idx="12">
                  <c:v>-1716</c:v>
                </c:pt>
                <c:pt idx="13">
                  <c:v>-9629</c:v>
                </c:pt>
                <c:pt idx="14">
                  <c:v>-1238</c:v>
                </c:pt>
                <c:pt idx="15">
                  <c:v>-5680</c:v>
                </c:pt>
                <c:pt idx="16">
                  <c:v>-16596</c:v>
                </c:pt>
                <c:pt idx="17">
                  <c:v>13875</c:v>
                </c:pt>
                <c:pt idx="18">
                  <c:v>-22020</c:v>
                </c:pt>
                <c:pt idx="19">
                  <c:v>-1489</c:v>
                </c:pt>
                <c:pt idx="20">
                  <c:v>-2842</c:v>
                </c:pt>
                <c:pt idx="21">
                  <c:v>-15015</c:v>
                </c:pt>
                <c:pt idx="22">
                  <c:v>-3225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06E5-459B-87F1-273F0088D425}"/>
            </c:ext>
          </c:extLst>
        </c:ser>
        <c:ser>
          <c:idx val="49"/>
          <c:order val="49"/>
          <c:tx>
            <c:strRef>
              <c:f>תזרים!$B$54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תזרים!$C$54:$Z$54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06E5-459B-87F1-273F0088D425}"/>
            </c:ext>
          </c:extLst>
        </c:ser>
        <c:ser>
          <c:idx val="50"/>
          <c:order val="50"/>
          <c:tx>
            <c:strRef>
              <c:f>תזרים!$B$55</c:f>
              <c:strCache>
                <c:ptCount val="1"/>
                <c:pt idx="0">
                  <c:v>תזרים מזומנים מפעילות מימון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תזרים!$C$55:$Z$55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06E5-459B-87F1-273F0088D425}"/>
            </c:ext>
          </c:extLst>
        </c:ser>
        <c:ser>
          <c:idx val="51"/>
          <c:order val="51"/>
          <c:tx>
            <c:strRef>
              <c:f>תזרים!$B$56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תזרים!$C$56:$Z$56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06E5-459B-87F1-273F0088D425}"/>
            </c:ext>
          </c:extLst>
        </c:ser>
        <c:ser>
          <c:idx val="52"/>
          <c:order val="52"/>
          <c:tx>
            <c:strRef>
              <c:f>תזרים!$B$57</c:f>
              <c:strCache>
                <c:ptCount val="1"/>
                <c:pt idx="0">
                  <c:v>מימון ממקורות עצמאיים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תזרים!$C$57:$Z$57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06E5-459B-87F1-273F0088D425}"/>
            </c:ext>
          </c:extLst>
        </c:ser>
        <c:ser>
          <c:idx val="53"/>
          <c:order val="53"/>
          <c:tx>
            <c:strRef>
              <c:f>תזרים!$B$58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תזרים!$C$58:$Z$58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06E5-459B-87F1-273F0088D425}"/>
            </c:ext>
          </c:extLst>
        </c:ser>
        <c:ser>
          <c:idx val="54"/>
          <c:order val="54"/>
          <c:tx>
            <c:strRef>
              <c:f>תזרים!$B$59</c:f>
              <c:strCache>
                <c:ptCount val="1"/>
                <c:pt idx="0">
                  <c:v>דיבידנד שחולק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תזרים!$C$59:$Z$59</c:f>
              <c:numCache>
                <c:formatCode>#,##0_ ;[Red]\(#,##0\)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-1023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-6244</c:v>
                </c:pt>
                <c:pt idx="16">
                  <c:v>-7417</c:v>
                </c:pt>
                <c:pt idx="17">
                  <c:v>-16191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06E5-459B-87F1-273F0088D425}"/>
            </c:ext>
          </c:extLst>
        </c:ser>
        <c:ser>
          <c:idx val="55"/>
          <c:order val="55"/>
          <c:tx>
            <c:strRef>
              <c:f>תזרים!$B$60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תזרים!$C$60:$Z$60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06E5-459B-87F1-273F0088D425}"/>
            </c:ext>
          </c:extLst>
        </c:ser>
        <c:ser>
          <c:idx val="56"/>
          <c:order val="56"/>
          <c:tx>
            <c:strRef>
              <c:f>תזרים!$B$61</c:f>
              <c:strCache>
                <c:ptCount val="1"/>
                <c:pt idx="0">
                  <c:v>אג"ח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תזרים!$C$61:$Z$61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06E5-459B-87F1-273F0088D425}"/>
            </c:ext>
          </c:extLst>
        </c:ser>
        <c:ser>
          <c:idx val="57"/>
          <c:order val="57"/>
          <c:tx>
            <c:strRef>
              <c:f>תזרים!$B$62</c:f>
              <c:strCache>
                <c:ptCount val="1"/>
                <c:pt idx="0">
                  <c:v>הנפקת אג"ח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תזרים!$C$62:$Z$62</c:f>
              <c:numCache>
                <c:formatCode>#,##0_ ;[Red]\(#,##0\)</c:formatCode>
                <c:ptCount val="24"/>
                <c:pt idx="0">
                  <c:v>0</c:v>
                </c:pt>
                <c:pt idx="1">
                  <c:v>77333</c:v>
                </c:pt>
                <c:pt idx="2">
                  <c:v>5496</c:v>
                </c:pt>
                <c:pt idx="3">
                  <c:v>13921</c:v>
                </c:pt>
                <c:pt idx="4">
                  <c:v>1000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61862</c:v>
                </c:pt>
                <c:pt idx="12">
                  <c:v>191</c:v>
                </c:pt>
                <c:pt idx="13">
                  <c:v>0</c:v>
                </c:pt>
                <c:pt idx="14">
                  <c:v>0</c:v>
                </c:pt>
                <c:pt idx="15">
                  <c:v>226</c:v>
                </c:pt>
                <c:pt idx="16">
                  <c:v>354</c:v>
                </c:pt>
                <c:pt idx="17">
                  <c:v>463</c:v>
                </c:pt>
                <c:pt idx="18">
                  <c:v>46</c:v>
                </c:pt>
                <c:pt idx="19">
                  <c:v>24979</c:v>
                </c:pt>
                <c:pt idx="20">
                  <c:v>73</c:v>
                </c:pt>
                <c:pt idx="21">
                  <c:v>0</c:v>
                </c:pt>
                <c:pt idx="22">
                  <c:v>4769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06E5-459B-87F1-273F0088D425}"/>
            </c:ext>
          </c:extLst>
        </c:ser>
        <c:ser>
          <c:idx val="58"/>
          <c:order val="58"/>
          <c:tx>
            <c:strRef>
              <c:f>תזרים!$B$63</c:f>
              <c:strCache>
                <c:ptCount val="1"/>
                <c:pt idx="0">
                  <c:v>פדיון אג"ח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תזרים!$C$63:$Z$63</c:f>
              <c:numCache>
                <c:formatCode>#,##0_ ;[Red]\(#,##0\)</c:formatCode>
                <c:ptCount val="24"/>
                <c:pt idx="0">
                  <c:v>-7800</c:v>
                </c:pt>
                <c:pt idx="1">
                  <c:v>-30828</c:v>
                </c:pt>
                <c:pt idx="2">
                  <c:v>-7218</c:v>
                </c:pt>
                <c:pt idx="3">
                  <c:v>-5264</c:v>
                </c:pt>
                <c:pt idx="4">
                  <c:v>-5192</c:v>
                </c:pt>
                <c:pt idx="5">
                  <c:v>-9555</c:v>
                </c:pt>
                <c:pt idx="6">
                  <c:v>-4123</c:v>
                </c:pt>
                <c:pt idx="7">
                  <c:v>0</c:v>
                </c:pt>
                <c:pt idx="8">
                  <c:v>-9256</c:v>
                </c:pt>
                <c:pt idx="9">
                  <c:v>-8832</c:v>
                </c:pt>
                <c:pt idx="10">
                  <c:v>-8891</c:v>
                </c:pt>
                <c:pt idx="11">
                  <c:v>-7125</c:v>
                </c:pt>
                <c:pt idx="12">
                  <c:v>-7125</c:v>
                </c:pt>
                <c:pt idx="13">
                  <c:v>-7068</c:v>
                </c:pt>
                <c:pt idx="14">
                  <c:v>-7072</c:v>
                </c:pt>
                <c:pt idx="15">
                  <c:v>-223</c:v>
                </c:pt>
                <c:pt idx="16">
                  <c:v>-4189</c:v>
                </c:pt>
                <c:pt idx="17">
                  <c:v>0</c:v>
                </c:pt>
                <c:pt idx="18">
                  <c:v>-4185</c:v>
                </c:pt>
                <c:pt idx="19">
                  <c:v>-4304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06E5-459B-87F1-273F0088D425}"/>
            </c:ext>
          </c:extLst>
        </c:ser>
        <c:ser>
          <c:idx val="59"/>
          <c:order val="59"/>
          <c:tx>
            <c:strRef>
              <c:f>תזרים!$B$64</c:f>
              <c:strCache>
                <c:ptCount val="1"/>
                <c:pt idx="0">
                  <c:v>הנפקת אג"ח נטו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תזרים!$C$64:$Z$64</c:f>
              <c:numCache>
                <c:formatCode>#,##0_ ;[Red]\(#,##0\)</c:formatCode>
                <c:ptCount val="24"/>
                <c:pt idx="0">
                  <c:v>-7800</c:v>
                </c:pt>
                <c:pt idx="1">
                  <c:v>46505</c:v>
                </c:pt>
                <c:pt idx="2">
                  <c:v>-1722</c:v>
                </c:pt>
                <c:pt idx="3">
                  <c:v>8657</c:v>
                </c:pt>
                <c:pt idx="4">
                  <c:v>-4192</c:v>
                </c:pt>
                <c:pt idx="5">
                  <c:v>-9555</c:v>
                </c:pt>
                <c:pt idx="6">
                  <c:v>-4123</c:v>
                </c:pt>
                <c:pt idx="7">
                  <c:v>0</c:v>
                </c:pt>
                <c:pt idx="8">
                  <c:v>-9256</c:v>
                </c:pt>
                <c:pt idx="9">
                  <c:v>-8832</c:v>
                </c:pt>
                <c:pt idx="10">
                  <c:v>-8891</c:v>
                </c:pt>
                <c:pt idx="11">
                  <c:v>54737</c:v>
                </c:pt>
                <c:pt idx="12">
                  <c:v>-6934</c:v>
                </c:pt>
                <c:pt idx="13">
                  <c:v>-7068</c:v>
                </c:pt>
                <c:pt idx="14">
                  <c:v>-7072</c:v>
                </c:pt>
                <c:pt idx="15">
                  <c:v>3</c:v>
                </c:pt>
                <c:pt idx="16">
                  <c:v>-3835</c:v>
                </c:pt>
                <c:pt idx="17">
                  <c:v>463</c:v>
                </c:pt>
                <c:pt idx="18">
                  <c:v>-4139</c:v>
                </c:pt>
                <c:pt idx="19">
                  <c:v>20675</c:v>
                </c:pt>
                <c:pt idx="20">
                  <c:v>73</c:v>
                </c:pt>
                <c:pt idx="21">
                  <c:v>0</c:v>
                </c:pt>
                <c:pt idx="22">
                  <c:v>4769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06E5-459B-87F1-273F0088D425}"/>
            </c:ext>
          </c:extLst>
        </c:ser>
        <c:ser>
          <c:idx val="60"/>
          <c:order val="60"/>
          <c:tx>
            <c:strRef>
              <c:f>תזרים!$B$65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תזרים!$C$65:$Z$65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06E5-459B-87F1-273F0088D425}"/>
            </c:ext>
          </c:extLst>
        </c:ser>
        <c:ser>
          <c:idx val="61"/>
          <c:order val="61"/>
          <c:tx>
            <c:strRef>
              <c:f>תזרים!$B$66</c:f>
              <c:strCache>
                <c:ptCount val="1"/>
                <c:pt idx="0">
                  <c:v>הנפקת הון  ואג"ח נטו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תזרים!$C$66:$Z$66</c:f>
              <c:numCache>
                <c:formatCode>#,##0_ ;[Red]\(#,##0\)</c:formatCode>
                <c:ptCount val="24"/>
                <c:pt idx="0">
                  <c:v>-7800</c:v>
                </c:pt>
                <c:pt idx="1">
                  <c:v>46505</c:v>
                </c:pt>
                <c:pt idx="2">
                  <c:v>-1722</c:v>
                </c:pt>
                <c:pt idx="3">
                  <c:v>8657</c:v>
                </c:pt>
                <c:pt idx="4">
                  <c:v>-4192</c:v>
                </c:pt>
                <c:pt idx="5">
                  <c:v>-9555</c:v>
                </c:pt>
                <c:pt idx="6">
                  <c:v>-4123</c:v>
                </c:pt>
                <c:pt idx="7">
                  <c:v>0</c:v>
                </c:pt>
                <c:pt idx="8">
                  <c:v>-9256</c:v>
                </c:pt>
                <c:pt idx="9">
                  <c:v>-8832</c:v>
                </c:pt>
                <c:pt idx="10">
                  <c:v>-8891</c:v>
                </c:pt>
                <c:pt idx="11">
                  <c:v>53714</c:v>
                </c:pt>
                <c:pt idx="12">
                  <c:v>-6934</c:v>
                </c:pt>
                <c:pt idx="13">
                  <c:v>-7068</c:v>
                </c:pt>
                <c:pt idx="14">
                  <c:v>-7072</c:v>
                </c:pt>
                <c:pt idx="15">
                  <c:v>-6241</c:v>
                </c:pt>
                <c:pt idx="16">
                  <c:v>-11252</c:v>
                </c:pt>
                <c:pt idx="17">
                  <c:v>-15728</c:v>
                </c:pt>
                <c:pt idx="18">
                  <c:v>-4139</c:v>
                </c:pt>
                <c:pt idx="19">
                  <c:v>20675</c:v>
                </c:pt>
                <c:pt idx="20">
                  <c:v>73</c:v>
                </c:pt>
                <c:pt idx="21">
                  <c:v>0</c:v>
                </c:pt>
                <c:pt idx="22">
                  <c:v>4769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06E5-459B-87F1-273F0088D425}"/>
            </c:ext>
          </c:extLst>
        </c:ser>
        <c:ser>
          <c:idx val="62"/>
          <c:order val="62"/>
          <c:tx>
            <c:strRef>
              <c:f>תזרים!$B$67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תזרים!$C$67:$Z$67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06E5-459B-87F1-273F0088D425}"/>
            </c:ext>
          </c:extLst>
        </c:ser>
        <c:ser>
          <c:idx val="63"/>
          <c:order val="63"/>
          <c:tx>
            <c:strRef>
              <c:f>תזרים!$B$68</c:f>
              <c:strCache>
                <c:ptCount val="1"/>
                <c:pt idx="0">
                  <c:v>מימון ממקורות זרים מתאגידים בנקאים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תזרים!$C$68:$Z$68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06E5-459B-87F1-273F0088D425}"/>
            </c:ext>
          </c:extLst>
        </c:ser>
        <c:ser>
          <c:idx val="64"/>
          <c:order val="64"/>
          <c:tx>
            <c:strRef>
              <c:f>תזרים!$B$69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תזרים!$C$69:$Z$69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06E5-459B-87F1-273F0088D425}"/>
            </c:ext>
          </c:extLst>
        </c:ser>
        <c:ser>
          <c:idx val="65"/>
          <c:order val="65"/>
          <c:tx>
            <c:strRef>
              <c:f>תזרים!$B$70</c:f>
              <c:strCache>
                <c:ptCount val="1"/>
                <c:pt idx="0">
                  <c:v>אשראי לזמן קצר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תזרים!$C$70:$Z$70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06E5-459B-87F1-273F0088D425}"/>
            </c:ext>
          </c:extLst>
        </c:ser>
        <c:ser>
          <c:idx val="66"/>
          <c:order val="66"/>
          <c:tx>
            <c:strRef>
              <c:f>תזרים!$B$71</c:f>
              <c:strCache>
                <c:ptCount val="1"/>
                <c:pt idx="0">
                  <c:v>נטילת אשראי לזמן קצר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תזרים!$C$71:$Z$71</c:f>
              <c:numCache>
                <c:formatCode>#,##0_ ;[Red]\(#,##0\)</c:formatCode>
                <c:ptCount val="24"/>
                <c:pt idx="0">
                  <c:v>0</c:v>
                </c:pt>
                <c:pt idx="1">
                  <c:v>7900</c:v>
                </c:pt>
                <c:pt idx="2">
                  <c:v>4900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-23045</c:v>
                </c:pt>
                <c:pt idx="8">
                  <c:v>42778</c:v>
                </c:pt>
                <c:pt idx="9">
                  <c:v>9299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06E5-459B-87F1-273F0088D425}"/>
            </c:ext>
          </c:extLst>
        </c:ser>
        <c:ser>
          <c:idx val="67"/>
          <c:order val="67"/>
          <c:tx>
            <c:strRef>
              <c:f>תזרים!$B$72</c:f>
              <c:strCache>
                <c:ptCount val="1"/>
                <c:pt idx="0">
                  <c:v>פדיון אשראי לזמן קצר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תזרים!$C$72:$Z$72</c:f>
              <c:numCache>
                <c:formatCode>#,##0_ ;[Red]\(#,##0\)</c:formatCode>
                <c:ptCount val="24"/>
                <c:pt idx="0">
                  <c:v>-3996</c:v>
                </c:pt>
                <c:pt idx="1">
                  <c:v>-6471</c:v>
                </c:pt>
                <c:pt idx="2">
                  <c:v>-3793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-8402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06E5-459B-87F1-273F0088D425}"/>
            </c:ext>
          </c:extLst>
        </c:ser>
        <c:ser>
          <c:idx val="68"/>
          <c:order val="68"/>
          <c:tx>
            <c:strRef>
              <c:f>תזרים!$B$73</c:f>
              <c:strCache>
                <c:ptCount val="1"/>
                <c:pt idx="0">
                  <c:v>סה"כ אשראי לזמן קצר נטו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תזרים!$C$73:$Z$73</c:f>
              <c:numCache>
                <c:formatCode>#,##0_ ;[Red]\(#,##0\)</c:formatCode>
                <c:ptCount val="24"/>
                <c:pt idx="0">
                  <c:v>-3996</c:v>
                </c:pt>
                <c:pt idx="1">
                  <c:v>1429</c:v>
                </c:pt>
                <c:pt idx="2">
                  <c:v>1107</c:v>
                </c:pt>
                <c:pt idx="3">
                  <c:v>-12860</c:v>
                </c:pt>
                <c:pt idx="4">
                  <c:v>-3580</c:v>
                </c:pt>
                <c:pt idx="5">
                  <c:v>-3651</c:v>
                </c:pt>
                <c:pt idx="6">
                  <c:v>1627</c:v>
                </c:pt>
                <c:pt idx="7">
                  <c:v>-23045</c:v>
                </c:pt>
                <c:pt idx="8">
                  <c:v>42778</c:v>
                </c:pt>
                <c:pt idx="9">
                  <c:v>9299</c:v>
                </c:pt>
                <c:pt idx="10">
                  <c:v>-8402</c:v>
                </c:pt>
                <c:pt idx="11">
                  <c:v>-15776</c:v>
                </c:pt>
                <c:pt idx="12">
                  <c:v>-9818</c:v>
                </c:pt>
                <c:pt idx="13">
                  <c:v>7757</c:v>
                </c:pt>
                <c:pt idx="14">
                  <c:v>4604</c:v>
                </c:pt>
                <c:pt idx="15">
                  <c:v>-1401</c:v>
                </c:pt>
                <c:pt idx="16">
                  <c:v>23037</c:v>
                </c:pt>
                <c:pt idx="17">
                  <c:v>-185</c:v>
                </c:pt>
                <c:pt idx="18">
                  <c:v>185</c:v>
                </c:pt>
                <c:pt idx="19">
                  <c:v>-862</c:v>
                </c:pt>
                <c:pt idx="20">
                  <c:v>-3345</c:v>
                </c:pt>
                <c:pt idx="21">
                  <c:v>4206</c:v>
                </c:pt>
                <c:pt idx="22">
                  <c:v>-22483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06E5-459B-87F1-273F0088D425}"/>
            </c:ext>
          </c:extLst>
        </c:ser>
        <c:ser>
          <c:idx val="69"/>
          <c:order val="69"/>
          <c:tx>
            <c:strRef>
              <c:f>תזרים!$B$74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תזרים!$C$74:$Z$74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06E5-459B-87F1-273F0088D425}"/>
            </c:ext>
          </c:extLst>
        </c:ser>
        <c:ser>
          <c:idx val="70"/>
          <c:order val="70"/>
          <c:tx>
            <c:strRef>
              <c:f>תזרים!$B$75</c:f>
              <c:strCache>
                <c:ptCount val="1"/>
                <c:pt idx="0">
                  <c:v>אשראי לזמן ארוך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תזרים!$C$75:$Z$75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06E5-459B-87F1-273F0088D425}"/>
            </c:ext>
          </c:extLst>
        </c:ser>
        <c:ser>
          <c:idx val="71"/>
          <c:order val="71"/>
          <c:tx>
            <c:strRef>
              <c:f>תזרים!$B$76</c:f>
              <c:strCache>
                <c:ptCount val="1"/>
                <c:pt idx="0">
                  <c:v>נטילת אשראי לזמן ארוך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תזרים!$C$76:$Z$76</c:f>
              <c:numCache>
                <c:formatCode>#,##0_ ;[Red]\(#,##0\)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1800</c:v>
                </c:pt>
                <c:pt idx="3">
                  <c:v>1000</c:v>
                </c:pt>
                <c:pt idx="4">
                  <c:v>93</c:v>
                </c:pt>
                <c:pt idx="5">
                  <c:v>3000</c:v>
                </c:pt>
                <c:pt idx="6">
                  <c:v>4293</c:v>
                </c:pt>
                <c:pt idx="7">
                  <c:v>3000</c:v>
                </c:pt>
                <c:pt idx="8">
                  <c:v>1001</c:v>
                </c:pt>
                <c:pt idx="9">
                  <c:v>5289</c:v>
                </c:pt>
                <c:pt idx="10">
                  <c:v>0</c:v>
                </c:pt>
                <c:pt idx="11">
                  <c:v>169</c:v>
                </c:pt>
                <c:pt idx="12">
                  <c:v>9000</c:v>
                </c:pt>
                <c:pt idx="13">
                  <c:v>9500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6856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06E5-459B-87F1-273F0088D425}"/>
            </c:ext>
          </c:extLst>
        </c:ser>
        <c:ser>
          <c:idx val="72"/>
          <c:order val="72"/>
          <c:tx>
            <c:strRef>
              <c:f>תזרים!$B$77</c:f>
              <c:strCache>
                <c:ptCount val="1"/>
                <c:pt idx="0">
                  <c:v>פדיון אשראי לזמן ארוך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תזרים!$C$77:$Z$77</c:f>
              <c:numCache>
                <c:formatCode>#,##0_ ;[Red]\(#,##0\)</c:formatCode>
                <c:ptCount val="24"/>
                <c:pt idx="0">
                  <c:v>-3284</c:v>
                </c:pt>
                <c:pt idx="1">
                  <c:v>-6243</c:v>
                </c:pt>
                <c:pt idx="2">
                  <c:v>-1374</c:v>
                </c:pt>
                <c:pt idx="3">
                  <c:v>-3704</c:v>
                </c:pt>
                <c:pt idx="4">
                  <c:v>-3294</c:v>
                </c:pt>
                <c:pt idx="5">
                  <c:v>-2074</c:v>
                </c:pt>
                <c:pt idx="6">
                  <c:v>-1272</c:v>
                </c:pt>
                <c:pt idx="7">
                  <c:v>-871</c:v>
                </c:pt>
                <c:pt idx="8">
                  <c:v>-4110</c:v>
                </c:pt>
                <c:pt idx="9">
                  <c:v>-1442</c:v>
                </c:pt>
                <c:pt idx="10">
                  <c:v>-1032</c:v>
                </c:pt>
                <c:pt idx="11">
                  <c:v>-12496</c:v>
                </c:pt>
                <c:pt idx="12">
                  <c:v>-2110</c:v>
                </c:pt>
                <c:pt idx="13">
                  <c:v>-79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-1479</c:v>
                </c:pt>
                <c:pt idx="21">
                  <c:v>-3266</c:v>
                </c:pt>
                <c:pt idx="22">
                  <c:v>-1797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06E5-459B-87F1-273F0088D425}"/>
            </c:ext>
          </c:extLst>
        </c:ser>
        <c:ser>
          <c:idx val="73"/>
          <c:order val="73"/>
          <c:tx>
            <c:strRef>
              <c:f>תזרים!$B$78</c:f>
              <c:strCache>
                <c:ptCount val="1"/>
                <c:pt idx="0">
                  <c:v>סה"כ אשראי לזמן ארוך נטו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תזרים!$C$78:$Z$78</c:f>
              <c:numCache>
                <c:formatCode>#,##0_ ;[Red]\(#,##0\)</c:formatCode>
                <c:ptCount val="24"/>
                <c:pt idx="0">
                  <c:v>-3284</c:v>
                </c:pt>
                <c:pt idx="1">
                  <c:v>-6243</c:v>
                </c:pt>
                <c:pt idx="2">
                  <c:v>426</c:v>
                </c:pt>
                <c:pt idx="3">
                  <c:v>-2704</c:v>
                </c:pt>
                <c:pt idx="4">
                  <c:v>-3201</c:v>
                </c:pt>
                <c:pt idx="5">
                  <c:v>926</c:v>
                </c:pt>
                <c:pt idx="6">
                  <c:v>3021</c:v>
                </c:pt>
                <c:pt idx="7">
                  <c:v>2129</c:v>
                </c:pt>
                <c:pt idx="8">
                  <c:v>-3109</c:v>
                </c:pt>
                <c:pt idx="9">
                  <c:v>3847</c:v>
                </c:pt>
                <c:pt idx="10">
                  <c:v>-1032</c:v>
                </c:pt>
                <c:pt idx="11">
                  <c:v>-12327</c:v>
                </c:pt>
                <c:pt idx="12">
                  <c:v>6890</c:v>
                </c:pt>
                <c:pt idx="13">
                  <c:v>9421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-1479</c:v>
                </c:pt>
                <c:pt idx="21">
                  <c:v>-3266</c:v>
                </c:pt>
                <c:pt idx="22">
                  <c:v>5059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06E5-459B-87F1-273F0088D425}"/>
            </c:ext>
          </c:extLst>
        </c:ser>
        <c:ser>
          <c:idx val="74"/>
          <c:order val="74"/>
          <c:tx>
            <c:strRef>
              <c:f>תזרים!$B$79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תזרים!$C$79:$Z$79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06E5-459B-87F1-273F0088D425}"/>
            </c:ext>
          </c:extLst>
        </c:ser>
        <c:ser>
          <c:idx val="75"/>
          <c:order val="75"/>
          <c:tx>
            <c:strRef>
              <c:f>תזרים!$B$80</c:f>
              <c:strCache>
                <c:ptCount val="1"/>
                <c:pt idx="0">
                  <c:v>מימון ממקורות זרים מתאגידים בנקאים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תזרים!$C$80:$Z$80</c:f>
              <c:numCache>
                <c:formatCode>#,##0_ ;[Red]\(#,##0\)</c:formatCode>
                <c:ptCount val="24"/>
                <c:pt idx="0">
                  <c:v>-7280</c:v>
                </c:pt>
                <c:pt idx="1">
                  <c:v>-4814</c:v>
                </c:pt>
                <c:pt idx="2">
                  <c:v>1533</c:v>
                </c:pt>
                <c:pt idx="3">
                  <c:v>-15564</c:v>
                </c:pt>
                <c:pt idx="4">
                  <c:v>-6781</c:v>
                </c:pt>
                <c:pt idx="5">
                  <c:v>-2725</c:v>
                </c:pt>
                <c:pt idx="6">
                  <c:v>4648</c:v>
                </c:pt>
                <c:pt idx="7">
                  <c:v>-20916</c:v>
                </c:pt>
                <c:pt idx="8">
                  <c:v>39669</c:v>
                </c:pt>
                <c:pt idx="9">
                  <c:v>13146</c:v>
                </c:pt>
                <c:pt idx="10">
                  <c:v>-9434</c:v>
                </c:pt>
                <c:pt idx="11">
                  <c:v>-28103</c:v>
                </c:pt>
                <c:pt idx="12">
                  <c:v>-2928</c:v>
                </c:pt>
                <c:pt idx="13">
                  <c:v>17178</c:v>
                </c:pt>
                <c:pt idx="14">
                  <c:v>4604</c:v>
                </c:pt>
                <c:pt idx="15">
                  <c:v>-1401</c:v>
                </c:pt>
                <c:pt idx="16">
                  <c:v>23037</c:v>
                </c:pt>
                <c:pt idx="17">
                  <c:v>-185</c:v>
                </c:pt>
                <c:pt idx="18">
                  <c:v>185</c:v>
                </c:pt>
                <c:pt idx="19">
                  <c:v>-862</c:v>
                </c:pt>
                <c:pt idx="20">
                  <c:v>-4824</c:v>
                </c:pt>
                <c:pt idx="21">
                  <c:v>940</c:v>
                </c:pt>
                <c:pt idx="22">
                  <c:v>-17424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06E5-459B-87F1-273F0088D425}"/>
            </c:ext>
          </c:extLst>
        </c:ser>
        <c:ser>
          <c:idx val="76"/>
          <c:order val="76"/>
          <c:tx>
            <c:strRef>
              <c:f>תזרים!$B$81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תזרים!$C$81:$Z$81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06E5-459B-87F1-273F0088D425}"/>
            </c:ext>
          </c:extLst>
        </c:ser>
        <c:ser>
          <c:idx val="77"/>
          <c:order val="77"/>
          <c:tx>
            <c:strRef>
              <c:f>תזרים!$B$82</c:f>
              <c:strCache>
                <c:ptCount val="1"/>
                <c:pt idx="0">
                  <c:v>תזרים ממימון אחר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תזרים!$C$82:$Z$82</c:f>
              <c:numCache>
                <c:formatCode>#,##0_ ;[Red]\(#,##0\)</c:formatCode>
                <c:ptCount val="24"/>
                <c:pt idx="0">
                  <c:v>-5110</c:v>
                </c:pt>
                <c:pt idx="1">
                  <c:v>-3422</c:v>
                </c:pt>
                <c:pt idx="2">
                  <c:v>-4044</c:v>
                </c:pt>
                <c:pt idx="3">
                  <c:v>-5167</c:v>
                </c:pt>
                <c:pt idx="4">
                  <c:v>-6056</c:v>
                </c:pt>
                <c:pt idx="5">
                  <c:v>7436</c:v>
                </c:pt>
                <c:pt idx="6">
                  <c:v>-8444</c:v>
                </c:pt>
                <c:pt idx="7">
                  <c:v>-1677</c:v>
                </c:pt>
                <c:pt idx="8">
                  <c:v>-14590</c:v>
                </c:pt>
                <c:pt idx="9">
                  <c:v>389</c:v>
                </c:pt>
                <c:pt idx="10">
                  <c:v>0</c:v>
                </c:pt>
                <c:pt idx="11">
                  <c:v>-2889</c:v>
                </c:pt>
                <c:pt idx="12">
                  <c:v>0</c:v>
                </c:pt>
                <c:pt idx="13">
                  <c:v>-629</c:v>
                </c:pt>
                <c:pt idx="14">
                  <c:v>-181</c:v>
                </c:pt>
                <c:pt idx="15">
                  <c:v>-94</c:v>
                </c:pt>
                <c:pt idx="16">
                  <c:v>2727</c:v>
                </c:pt>
                <c:pt idx="17">
                  <c:v>-229</c:v>
                </c:pt>
                <c:pt idx="18">
                  <c:v>-458</c:v>
                </c:pt>
                <c:pt idx="19">
                  <c:v>-358</c:v>
                </c:pt>
                <c:pt idx="20">
                  <c:v>-926</c:v>
                </c:pt>
                <c:pt idx="21">
                  <c:v>-932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06E5-459B-87F1-273F0088D425}"/>
            </c:ext>
          </c:extLst>
        </c:ser>
        <c:ser>
          <c:idx val="78"/>
          <c:order val="78"/>
          <c:tx>
            <c:strRef>
              <c:f>תזרים!$B$83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תזרים!$C$83:$Z$83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06E5-459B-87F1-273F0088D425}"/>
            </c:ext>
          </c:extLst>
        </c:ser>
        <c:ser>
          <c:idx val="79"/>
          <c:order val="79"/>
          <c:tx>
            <c:strRef>
              <c:f>תזרים!$B$84</c:f>
              <c:strCache>
                <c:ptCount val="1"/>
                <c:pt idx="0">
                  <c:v>סה"כ תזרים מזומנים מפעילות מימון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תזרים!$C$84:$Z$84</c:f>
              <c:numCache>
                <c:formatCode>#,##0_ ;[Red]\(#,##0\)</c:formatCode>
                <c:ptCount val="24"/>
                <c:pt idx="0">
                  <c:v>-20190</c:v>
                </c:pt>
                <c:pt idx="1">
                  <c:v>38269</c:v>
                </c:pt>
                <c:pt idx="2">
                  <c:v>-4233</c:v>
                </c:pt>
                <c:pt idx="3">
                  <c:v>-12074</c:v>
                </c:pt>
                <c:pt idx="4">
                  <c:v>-17029</c:v>
                </c:pt>
                <c:pt idx="5">
                  <c:v>-4844</c:v>
                </c:pt>
                <c:pt idx="6">
                  <c:v>-7919</c:v>
                </c:pt>
                <c:pt idx="7">
                  <c:v>-22593</c:v>
                </c:pt>
                <c:pt idx="8">
                  <c:v>15823</c:v>
                </c:pt>
                <c:pt idx="9">
                  <c:v>4703</c:v>
                </c:pt>
                <c:pt idx="10">
                  <c:v>-18325</c:v>
                </c:pt>
                <c:pt idx="11">
                  <c:v>22722</c:v>
                </c:pt>
                <c:pt idx="12">
                  <c:v>-9862</c:v>
                </c:pt>
                <c:pt idx="13">
                  <c:v>9481</c:v>
                </c:pt>
                <c:pt idx="14">
                  <c:v>-2649</c:v>
                </c:pt>
                <c:pt idx="15">
                  <c:v>-7736</c:v>
                </c:pt>
                <c:pt idx="16">
                  <c:v>14512</c:v>
                </c:pt>
                <c:pt idx="17">
                  <c:v>-16142</c:v>
                </c:pt>
                <c:pt idx="18">
                  <c:v>-4412</c:v>
                </c:pt>
                <c:pt idx="19">
                  <c:v>19455</c:v>
                </c:pt>
                <c:pt idx="20">
                  <c:v>-5677</c:v>
                </c:pt>
                <c:pt idx="21">
                  <c:v>8</c:v>
                </c:pt>
                <c:pt idx="22">
                  <c:v>-12655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06E5-459B-87F1-273F0088D425}"/>
            </c:ext>
          </c:extLst>
        </c:ser>
        <c:ser>
          <c:idx val="80"/>
          <c:order val="80"/>
          <c:tx>
            <c:strRef>
              <c:f>תזרים!$B$85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תזרים!$C$85:$Z$85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06E5-459B-87F1-273F0088D425}"/>
            </c:ext>
          </c:extLst>
        </c:ser>
        <c:ser>
          <c:idx val="81"/>
          <c:order val="81"/>
          <c:tx>
            <c:strRef>
              <c:f>תזרים!$B$86</c:f>
              <c:strCache>
                <c:ptCount val="1"/>
                <c:pt idx="0">
                  <c:v>תזרים אחר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תזרים!$C$86:$Z$86</c:f>
              <c:numCache>
                <c:formatCode>#,##0_ ;[Red]\(#,##0\)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06E5-459B-87F1-273F0088D425}"/>
            </c:ext>
          </c:extLst>
        </c:ser>
        <c:ser>
          <c:idx val="82"/>
          <c:order val="82"/>
          <c:tx>
            <c:strRef>
              <c:f>תזרים!$B$87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תזרים!$C$87:$Z$87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06E5-459B-87F1-273F0088D425}"/>
            </c:ext>
          </c:extLst>
        </c:ser>
        <c:ser>
          <c:idx val="83"/>
          <c:order val="83"/>
          <c:tx>
            <c:strRef>
              <c:f>תזרים!$B$88</c:f>
              <c:strCache>
                <c:ptCount val="1"/>
                <c:pt idx="0">
                  <c:v>שינוי ביתרת מזומן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תזרים!$C$88:$Z$88</c:f>
              <c:numCache>
                <c:formatCode>#,##0_ ;[Red]\(#,##0\)</c:formatCode>
                <c:ptCount val="24"/>
                <c:pt idx="0">
                  <c:v>331</c:v>
                </c:pt>
                <c:pt idx="1">
                  <c:v>5677</c:v>
                </c:pt>
                <c:pt idx="2">
                  <c:v>2655</c:v>
                </c:pt>
                <c:pt idx="3">
                  <c:v>-590</c:v>
                </c:pt>
                <c:pt idx="4">
                  <c:v>2089</c:v>
                </c:pt>
                <c:pt idx="5">
                  <c:v>-1078</c:v>
                </c:pt>
                <c:pt idx="6">
                  <c:v>-1528</c:v>
                </c:pt>
                <c:pt idx="7">
                  <c:v>2260</c:v>
                </c:pt>
                <c:pt idx="8">
                  <c:v>-481</c:v>
                </c:pt>
                <c:pt idx="9">
                  <c:v>-1308</c:v>
                </c:pt>
                <c:pt idx="10">
                  <c:v>-795</c:v>
                </c:pt>
                <c:pt idx="11">
                  <c:v>4513</c:v>
                </c:pt>
                <c:pt idx="12">
                  <c:v>-757</c:v>
                </c:pt>
                <c:pt idx="13">
                  <c:v>754</c:v>
                </c:pt>
                <c:pt idx="14">
                  <c:v>297</c:v>
                </c:pt>
                <c:pt idx="15">
                  <c:v>-355</c:v>
                </c:pt>
                <c:pt idx="16">
                  <c:v>122</c:v>
                </c:pt>
                <c:pt idx="17">
                  <c:v>-1444</c:v>
                </c:pt>
                <c:pt idx="18">
                  <c:v>-23196</c:v>
                </c:pt>
                <c:pt idx="19">
                  <c:v>22536</c:v>
                </c:pt>
                <c:pt idx="20">
                  <c:v>2193</c:v>
                </c:pt>
                <c:pt idx="21">
                  <c:v>-902</c:v>
                </c:pt>
                <c:pt idx="22">
                  <c:v>-2088</c:v>
                </c:pt>
                <c:pt idx="23">
                  <c:v>1861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06E5-459B-87F1-273F0088D425}"/>
            </c:ext>
          </c:extLst>
        </c:ser>
        <c:ser>
          <c:idx val="84"/>
          <c:order val="84"/>
          <c:tx>
            <c:strRef>
              <c:f>תזרים!$B$89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תזרים!$C$89:$Z$89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06E5-459B-87F1-273F0088D425}"/>
            </c:ext>
          </c:extLst>
        </c:ser>
        <c:ser>
          <c:idx val="85"/>
          <c:order val="85"/>
          <c:tx>
            <c:strRef>
              <c:f>תזרים!$B$90</c:f>
              <c:strCache>
                <c:ptCount val="1"/>
                <c:pt idx="0">
                  <c:v>יתרת המזומנים תחילת שנה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תזרים!$C$90:$Z$90</c:f>
              <c:numCache>
                <c:formatCode>#,##0_ ;[Red]\(#,##0\)</c:formatCode>
                <c:ptCount val="24"/>
                <c:pt idx="0">
                  <c:v>11769</c:v>
                </c:pt>
                <c:pt idx="1">
                  <c:v>6092</c:v>
                </c:pt>
                <c:pt idx="2">
                  <c:v>3437</c:v>
                </c:pt>
                <c:pt idx="3">
                  <c:v>4027</c:v>
                </c:pt>
                <c:pt idx="4">
                  <c:v>1938</c:v>
                </c:pt>
                <c:pt idx="5">
                  <c:v>3016</c:v>
                </c:pt>
                <c:pt idx="6">
                  <c:v>4544</c:v>
                </c:pt>
                <c:pt idx="7">
                  <c:v>2284</c:v>
                </c:pt>
                <c:pt idx="8">
                  <c:v>2765</c:v>
                </c:pt>
                <c:pt idx="9">
                  <c:v>4073</c:v>
                </c:pt>
                <c:pt idx="10">
                  <c:v>4868</c:v>
                </c:pt>
                <c:pt idx="11">
                  <c:v>355</c:v>
                </c:pt>
                <c:pt idx="12">
                  <c:v>1112</c:v>
                </c:pt>
                <c:pt idx="13">
                  <c:v>358</c:v>
                </c:pt>
                <c:pt idx="14">
                  <c:v>61</c:v>
                </c:pt>
                <c:pt idx="15">
                  <c:v>416</c:v>
                </c:pt>
                <c:pt idx="16">
                  <c:v>290</c:v>
                </c:pt>
                <c:pt idx="17">
                  <c:v>1734</c:v>
                </c:pt>
                <c:pt idx="18">
                  <c:v>24930</c:v>
                </c:pt>
                <c:pt idx="19">
                  <c:v>2396</c:v>
                </c:pt>
                <c:pt idx="20">
                  <c:v>203</c:v>
                </c:pt>
                <c:pt idx="21">
                  <c:v>1107</c:v>
                </c:pt>
                <c:pt idx="22">
                  <c:v>3191</c:v>
                </c:pt>
                <c:pt idx="23">
                  <c:v>1330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06E5-459B-87F1-273F0088D425}"/>
            </c:ext>
          </c:extLst>
        </c:ser>
        <c:ser>
          <c:idx val="86"/>
          <c:order val="86"/>
          <c:tx>
            <c:strRef>
              <c:f>תזרים!$B$91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תזרים!$C$91:$Z$91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06E5-459B-87F1-273F0088D425}"/>
            </c:ext>
          </c:extLst>
        </c:ser>
        <c:ser>
          <c:idx val="87"/>
          <c:order val="87"/>
          <c:tx>
            <c:strRef>
              <c:f>תזרים!$B$92</c:f>
              <c:strCache>
                <c:ptCount val="1"/>
                <c:pt idx="0">
                  <c:v>יתרת המזומנים סוף תקופה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תזרים!$C$92:$Z$92</c:f>
              <c:numCache>
                <c:formatCode>#,##0_ ;[Red]\(#,##0\)</c:formatCode>
                <c:ptCount val="24"/>
                <c:pt idx="0">
                  <c:v>12100</c:v>
                </c:pt>
                <c:pt idx="1">
                  <c:v>11769</c:v>
                </c:pt>
                <c:pt idx="2">
                  <c:v>6092</c:v>
                </c:pt>
                <c:pt idx="3">
                  <c:v>3437</c:v>
                </c:pt>
                <c:pt idx="4">
                  <c:v>4027</c:v>
                </c:pt>
                <c:pt idx="5">
                  <c:v>1938</c:v>
                </c:pt>
                <c:pt idx="6">
                  <c:v>3016</c:v>
                </c:pt>
                <c:pt idx="7">
                  <c:v>4544</c:v>
                </c:pt>
                <c:pt idx="8">
                  <c:v>2284</c:v>
                </c:pt>
                <c:pt idx="9">
                  <c:v>2765</c:v>
                </c:pt>
                <c:pt idx="10">
                  <c:v>4073</c:v>
                </c:pt>
                <c:pt idx="11">
                  <c:v>4868</c:v>
                </c:pt>
                <c:pt idx="12">
                  <c:v>355</c:v>
                </c:pt>
                <c:pt idx="13">
                  <c:v>1112</c:v>
                </c:pt>
                <c:pt idx="14">
                  <c:v>358</c:v>
                </c:pt>
                <c:pt idx="15">
                  <c:v>61</c:v>
                </c:pt>
                <c:pt idx="16">
                  <c:v>412</c:v>
                </c:pt>
                <c:pt idx="17">
                  <c:v>290</c:v>
                </c:pt>
                <c:pt idx="18">
                  <c:v>1734</c:v>
                </c:pt>
                <c:pt idx="19">
                  <c:v>24932</c:v>
                </c:pt>
                <c:pt idx="20">
                  <c:v>2396</c:v>
                </c:pt>
                <c:pt idx="21">
                  <c:v>205</c:v>
                </c:pt>
                <c:pt idx="22">
                  <c:v>1103</c:v>
                </c:pt>
                <c:pt idx="23">
                  <c:v>3191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06E5-459B-87F1-273F0088D425}"/>
            </c:ext>
          </c:extLst>
        </c:ser>
        <c:ser>
          <c:idx val="1"/>
          <c:order val="1"/>
          <c:tx>
            <c:strRef>
              <c:f>תזרים!$B$6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תזרים!$C$6:$Z$6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E5-459B-87F1-273F0088D425}"/>
            </c:ext>
          </c:extLst>
        </c:ser>
        <c:ser>
          <c:idx val="2"/>
          <c:order val="2"/>
          <c:tx>
            <c:strRef>
              <c:f>תזרים!$B$7</c:f>
              <c:strCache>
                <c:ptCount val="1"/>
                <c:pt idx="0">
                  <c:v>פעילות שאינה כרוכה בתזרים מזומנים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תזרים!$C$7:$Z$7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E5-459B-87F1-273F0088D425}"/>
            </c:ext>
          </c:extLst>
        </c:ser>
        <c:ser>
          <c:idx val="3"/>
          <c:order val="3"/>
          <c:tx>
            <c:strRef>
              <c:f>תזרים!$B$8</c:f>
              <c:strCache>
                <c:ptCount val="1"/>
                <c:pt idx="0">
                  <c:v>פחת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תזרים!$C$8:$Z$8</c:f>
              <c:numCache>
                <c:formatCode>#,##0_ ;[Red]\(#,##0\)</c:formatCode>
                <c:ptCount val="24"/>
                <c:pt idx="0">
                  <c:v>11145</c:v>
                </c:pt>
                <c:pt idx="1">
                  <c:v>7228</c:v>
                </c:pt>
                <c:pt idx="2">
                  <c:v>4515</c:v>
                </c:pt>
                <c:pt idx="3">
                  <c:v>4263</c:v>
                </c:pt>
                <c:pt idx="4">
                  <c:v>4372</c:v>
                </c:pt>
                <c:pt idx="5">
                  <c:v>4751</c:v>
                </c:pt>
                <c:pt idx="6">
                  <c:v>4787</c:v>
                </c:pt>
                <c:pt idx="7">
                  <c:v>5670</c:v>
                </c:pt>
                <c:pt idx="8">
                  <c:v>8782</c:v>
                </c:pt>
                <c:pt idx="9">
                  <c:v>7626</c:v>
                </c:pt>
                <c:pt idx="10">
                  <c:v>4533</c:v>
                </c:pt>
                <c:pt idx="11">
                  <c:v>4940</c:v>
                </c:pt>
                <c:pt idx="12">
                  <c:v>4968</c:v>
                </c:pt>
                <c:pt idx="13">
                  <c:v>3707</c:v>
                </c:pt>
                <c:pt idx="14">
                  <c:v>3723</c:v>
                </c:pt>
                <c:pt idx="15">
                  <c:v>4711</c:v>
                </c:pt>
                <c:pt idx="16">
                  <c:v>4455</c:v>
                </c:pt>
                <c:pt idx="17">
                  <c:v>4272</c:v>
                </c:pt>
                <c:pt idx="18">
                  <c:v>3910</c:v>
                </c:pt>
                <c:pt idx="19">
                  <c:v>3384</c:v>
                </c:pt>
                <c:pt idx="20">
                  <c:v>3198</c:v>
                </c:pt>
                <c:pt idx="21">
                  <c:v>2141</c:v>
                </c:pt>
                <c:pt idx="22">
                  <c:v>2009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E5-459B-87F1-273F0088D425}"/>
            </c:ext>
          </c:extLst>
        </c:ser>
        <c:ser>
          <c:idx val="4"/>
          <c:order val="4"/>
          <c:tx>
            <c:strRef>
              <c:f>תזרים!$B$9</c:f>
              <c:strCache>
                <c:ptCount val="1"/>
                <c:pt idx="0">
                  <c:v>אחרות שאינן כרוכות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תזרים!$C$9:$Z$9</c:f>
              <c:numCache>
                <c:formatCode>#,##0_ ;[Red]\(#,##0\)</c:formatCode>
                <c:ptCount val="24"/>
                <c:pt idx="0">
                  <c:v>13319</c:v>
                </c:pt>
                <c:pt idx="1">
                  <c:v>-5522</c:v>
                </c:pt>
                <c:pt idx="2">
                  <c:v>150</c:v>
                </c:pt>
                <c:pt idx="3">
                  <c:v>596</c:v>
                </c:pt>
                <c:pt idx="4">
                  <c:v>7344</c:v>
                </c:pt>
                <c:pt idx="5">
                  <c:v>7748</c:v>
                </c:pt>
                <c:pt idx="6">
                  <c:v>10121</c:v>
                </c:pt>
                <c:pt idx="7">
                  <c:v>18692</c:v>
                </c:pt>
                <c:pt idx="8">
                  <c:v>11966</c:v>
                </c:pt>
                <c:pt idx="9">
                  <c:v>3981</c:v>
                </c:pt>
                <c:pt idx="10">
                  <c:v>928</c:v>
                </c:pt>
                <c:pt idx="11">
                  <c:v>169</c:v>
                </c:pt>
                <c:pt idx="12">
                  <c:v>-449</c:v>
                </c:pt>
                <c:pt idx="13">
                  <c:v>436</c:v>
                </c:pt>
                <c:pt idx="14">
                  <c:v>129</c:v>
                </c:pt>
                <c:pt idx="15">
                  <c:v>486</c:v>
                </c:pt>
                <c:pt idx="16">
                  <c:v>1447</c:v>
                </c:pt>
                <c:pt idx="17">
                  <c:v>690</c:v>
                </c:pt>
                <c:pt idx="18">
                  <c:v>472</c:v>
                </c:pt>
                <c:pt idx="19">
                  <c:v>1501</c:v>
                </c:pt>
                <c:pt idx="20">
                  <c:v>2617</c:v>
                </c:pt>
                <c:pt idx="21">
                  <c:v>2475</c:v>
                </c:pt>
                <c:pt idx="22">
                  <c:v>5092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E5-459B-87F1-273F0088D425}"/>
            </c:ext>
          </c:extLst>
        </c:ser>
        <c:ser>
          <c:idx val="5"/>
          <c:order val="5"/>
          <c:tx>
            <c:strRef>
              <c:f>תזרים!$B$10</c:f>
              <c:strCache>
                <c:ptCount val="1"/>
                <c:pt idx="0">
                  <c:v>סה"כ הכנסות שאינן כרוכות בזרימה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תזרים!$C$10:$Z$10</c:f>
              <c:numCache>
                <c:formatCode>#,##0_ ;[Red]\(#,##0\)</c:formatCode>
                <c:ptCount val="24"/>
                <c:pt idx="0">
                  <c:v>24464</c:v>
                </c:pt>
                <c:pt idx="1">
                  <c:v>1706</c:v>
                </c:pt>
                <c:pt idx="2">
                  <c:v>4665</c:v>
                </c:pt>
                <c:pt idx="3">
                  <c:v>4859</c:v>
                </c:pt>
                <c:pt idx="4">
                  <c:v>11716</c:v>
                </c:pt>
                <c:pt idx="5">
                  <c:v>12499</c:v>
                </c:pt>
                <c:pt idx="6">
                  <c:v>14908</c:v>
                </c:pt>
                <c:pt idx="7">
                  <c:v>24362</c:v>
                </c:pt>
                <c:pt idx="8">
                  <c:v>20748</c:v>
                </c:pt>
                <c:pt idx="9">
                  <c:v>11607</c:v>
                </c:pt>
                <c:pt idx="10">
                  <c:v>5461</c:v>
                </c:pt>
                <c:pt idx="11">
                  <c:v>5109</c:v>
                </c:pt>
                <c:pt idx="12">
                  <c:v>4519</c:v>
                </c:pt>
                <c:pt idx="13">
                  <c:v>4143</c:v>
                </c:pt>
                <c:pt idx="14">
                  <c:v>3852</c:v>
                </c:pt>
                <c:pt idx="15">
                  <c:v>5197</c:v>
                </c:pt>
                <c:pt idx="16">
                  <c:v>5902</c:v>
                </c:pt>
                <c:pt idx="17">
                  <c:v>4962</c:v>
                </c:pt>
                <c:pt idx="18">
                  <c:v>4382</c:v>
                </c:pt>
                <c:pt idx="19">
                  <c:v>4885</c:v>
                </c:pt>
                <c:pt idx="20">
                  <c:v>5815</c:v>
                </c:pt>
                <c:pt idx="21">
                  <c:v>4616</c:v>
                </c:pt>
                <c:pt idx="22">
                  <c:v>7101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E5-459B-87F1-273F0088D425}"/>
            </c:ext>
          </c:extLst>
        </c:ser>
        <c:ser>
          <c:idx val="6"/>
          <c:order val="6"/>
          <c:tx>
            <c:strRef>
              <c:f>תזרים!$B$11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תזרים!$C$11:$Z$11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6E5-459B-87F1-273F0088D425}"/>
            </c:ext>
          </c:extLst>
        </c:ser>
        <c:ser>
          <c:idx val="7"/>
          <c:order val="7"/>
          <c:tx>
            <c:strRef>
              <c:f>תזרים!$B$12</c:f>
              <c:strCache>
                <c:ptCount val="1"/>
                <c:pt idx="0">
                  <c:v>שינויים בהון החוזר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תזרים!$C$12:$Z$12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6E5-459B-87F1-273F0088D425}"/>
            </c:ext>
          </c:extLst>
        </c:ser>
        <c:ser>
          <c:idx val="8"/>
          <c:order val="8"/>
          <c:tx>
            <c:strRef>
              <c:f>תזרים!$B$13</c:f>
              <c:strCache>
                <c:ptCount val="1"/>
                <c:pt idx="0">
                  <c:v>עליה בלקוחות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תזרים!$C$13:$Z$13</c:f>
              <c:numCache>
                <c:formatCode>#,##0_ ;[Red]\(#,##0\)</c:formatCode>
                <c:ptCount val="24"/>
                <c:pt idx="0">
                  <c:v>-7607</c:v>
                </c:pt>
                <c:pt idx="1">
                  <c:v>-27627</c:v>
                </c:pt>
                <c:pt idx="2">
                  <c:v>-8462</c:v>
                </c:pt>
                <c:pt idx="3">
                  <c:v>-3439</c:v>
                </c:pt>
                <c:pt idx="4">
                  <c:v>6844</c:v>
                </c:pt>
                <c:pt idx="5">
                  <c:v>-15216</c:v>
                </c:pt>
                <c:pt idx="6">
                  <c:v>7693</c:v>
                </c:pt>
                <c:pt idx="7">
                  <c:v>35981</c:v>
                </c:pt>
                <c:pt idx="8">
                  <c:v>5542</c:v>
                </c:pt>
                <c:pt idx="9">
                  <c:v>7031</c:v>
                </c:pt>
                <c:pt idx="10">
                  <c:v>8235</c:v>
                </c:pt>
                <c:pt idx="11">
                  <c:v>-10738</c:v>
                </c:pt>
                <c:pt idx="12">
                  <c:v>4864</c:v>
                </c:pt>
                <c:pt idx="13">
                  <c:v>-10024</c:v>
                </c:pt>
                <c:pt idx="14">
                  <c:v>2328</c:v>
                </c:pt>
                <c:pt idx="15">
                  <c:v>241</c:v>
                </c:pt>
                <c:pt idx="16">
                  <c:v>5133</c:v>
                </c:pt>
                <c:pt idx="17">
                  <c:v>-12932</c:v>
                </c:pt>
                <c:pt idx="18">
                  <c:v>2189</c:v>
                </c:pt>
                <c:pt idx="19">
                  <c:v>-3309</c:v>
                </c:pt>
                <c:pt idx="20">
                  <c:v>-5208</c:v>
                </c:pt>
                <c:pt idx="21">
                  <c:v>-4255</c:v>
                </c:pt>
                <c:pt idx="22">
                  <c:v>14118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6E5-459B-87F1-273F0088D425}"/>
            </c:ext>
          </c:extLst>
        </c:ser>
        <c:ser>
          <c:idx val="9"/>
          <c:order val="9"/>
          <c:tx>
            <c:strRef>
              <c:f>תזרים!$B$14</c:f>
              <c:strCache>
                <c:ptCount val="1"/>
                <c:pt idx="0">
                  <c:v>עליה במלאי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תזרים!$C$14:$Z$14</c:f>
              <c:numCache>
                <c:formatCode>#,##0_ ;[Red]\(#,##0\)</c:formatCode>
                <c:ptCount val="24"/>
                <c:pt idx="0">
                  <c:v>7488</c:v>
                </c:pt>
                <c:pt idx="1">
                  <c:v>4433</c:v>
                </c:pt>
                <c:pt idx="2">
                  <c:v>-5572</c:v>
                </c:pt>
                <c:pt idx="3">
                  <c:v>8845</c:v>
                </c:pt>
                <c:pt idx="4">
                  <c:v>41</c:v>
                </c:pt>
                <c:pt idx="5">
                  <c:v>4365</c:v>
                </c:pt>
                <c:pt idx="6">
                  <c:v>6943</c:v>
                </c:pt>
                <c:pt idx="7">
                  <c:v>19350</c:v>
                </c:pt>
                <c:pt idx="8">
                  <c:v>4524</c:v>
                </c:pt>
                <c:pt idx="9">
                  <c:v>-10516</c:v>
                </c:pt>
                <c:pt idx="10">
                  <c:v>-8404</c:v>
                </c:pt>
                <c:pt idx="11">
                  <c:v>-1112</c:v>
                </c:pt>
                <c:pt idx="12">
                  <c:v>-3018</c:v>
                </c:pt>
                <c:pt idx="13">
                  <c:v>5231</c:v>
                </c:pt>
                <c:pt idx="14">
                  <c:v>2383</c:v>
                </c:pt>
                <c:pt idx="15">
                  <c:v>1332</c:v>
                </c:pt>
                <c:pt idx="16">
                  <c:v>-9941</c:v>
                </c:pt>
                <c:pt idx="17">
                  <c:v>-1137</c:v>
                </c:pt>
                <c:pt idx="18">
                  <c:v>-5228</c:v>
                </c:pt>
                <c:pt idx="19">
                  <c:v>-837</c:v>
                </c:pt>
                <c:pt idx="20">
                  <c:v>5210</c:v>
                </c:pt>
                <c:pt idx="21">
                  <c:v>-8218</c:v>
                </c:pt>
                <c:pt idx="22">
                  <c:v>7669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6E5-459B-87F1-273F0088D425}"/>
            </c:ext>
          </c:extLst>
        </c:ser>
        <c:ser>
          <c:idx val="10"/>
          <c:order val="10"/>
          <c:tx>
            <c:strRef>
              <c:f>תזרים!$B$15</c:f>
              <c:strCache>
                <c:ptCount val="1"/>
                <c:pt idx="0">
                  <c:v>עליה בספקים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תזרים!$C$15:$Z$15</c:f>
              <c:numCache>
                <c:formatCode>#,##0_ ;[Red]\(#,##0\)</c:formatCode>
                <c:ptCount val="24"/>
                <c:pt idx="0">
                  <c:v>12439</c:v>
                </c:pt>
                <c:pt idx="1">
                  <c:v>-9340</c:v>
                </c:pt>
                <c:pt idx="2">
                  <c:v>14696</c:v>
                </c:pt>
                <c:pt idx="3">
                  <c:v>-2852</c:v>
                </c:pt>
                <c:pt idx="4">
                  <c:v>1973</c:v>
                </c:pt>
                <c:pt idx="5">
                  <c:v>11243</c:v>
                </c:pt>
                <c:pt idx="6">
                  <c:v>-8270</c:v>
                </c:pt>
                <c:pt idx="7">
                  <c:v>-22922</c:v>
                </c:pt>
                <c:pt idx="8">
                  <c:v>-426</c:v>
                </c:pt>
                <c:pt idx="9">
                  <c:v>-9343</c:v>
                </c:pt>
                <c:pt idx="10">
                  <c:v>10963</c:v>
                </c:pt>
                <c:pt idx="11">
                  <c:v>-3448</c:v>
                </c:pt>
                <c:pt idx="12">
                  <c:v>-868</c:v>
                </c:pt>
                <c:pt idx="13">
                  <c:v>-226</c:v>
                </c:pt>
                <c:pt idx="14">
                  <c:v>-3018</c:v>
                </c:pt>
                <c:pt idx="15">
                  <c:v>2743</c:v>
                </c:pt>
                <c:pt idx="16">
                  <c:v>-3967</c:v>
                </c:pt>
                <c:pt idx="17">
                  <c:v>2777</c:v>
                </c:pt>
                <c:pt idx="18">
                  <c:v>825</c:v>
                </c:pt>
                <c:pt idx="19">
                  <c:v>-5234</c:v>
                </c:pt>
                <c:pt idx="20">
                  <c:v>-4478</c:v>
                </c:pt>
                <c:pt idx="21">
                  <c:v>11283</c:v>
                </c:pt>
                <c:pt idx="22">
                  <c:v>-5188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6E5-459B-87F1-273F0088D425}"/>
            </c:ext>
          </c:extLst>
        </c:ser>
        <c:ser>
          <c:idx val="11"/>
          <c:order val="11"/>
          <c:tx>
            <c:strRef>
              <c:f>תזרים!$B$16</c:f>
              <c:strCache>
                <c:ptCount val="1"/>
                <c:pt idx="0">
                  <c:v>עליה בזכאים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תזרים!$C$16:$Z$16</c:f>
              <c:numCache>
                <c:formatCode>#,##0_ ;[Red]\(#,##0\)</c:formatCode>
                <c:ptCount val="24"/>
                <c:pt idx="0">
                  <c:v>-1222</c:v>
                </c:pt>
                <c:pt idx="1">
                  <c:v>-346</c:v>
                </c:pt>
                <c:pt idx="2">
                  <c:v>1284</c:v>
                </c:pt>
                <c:pt idx="3">
                  <c:v>183</c:v>
                </c:pt>
                <c:pt idx="4">
                  <c:v>-564</c:v>
                </c:pt>
                <c:pt idx="5">
                  <c:v>1319</c:v>
                </c:pt>
                <c:pt idx="6">
                  <c:v>-3492</c:v>
                </c:pt>
                <c:pt idx="7">
                  <c:v>-4019</c:v>
                </c:pt>
                <c:pt idx="8">
                  <c:v>-8914</c:v>
                </c:pt>
                <c:pt idx="9">
                  <c:v>7055</c:v>
                </c:pt>
                <c:pt idx="10">
                  <c:v>-1186</c:v>
                </c:pt>
                <c:pt idx="11">
                  <c:v>972</c:v>
                </c:pt>
                <c:pt idx="12">
                  <c:v>1272</c:v>
                </c:pt>
                <c:pt idx="13">
                  <c:v>-335</c:v>
                </c:pt>
                <c:pt idx="14">
                  <c:v>179</c:v>
                </c:pt>
                <c:pt idx="15">
                  <c:v>5</c:v>
                </c:pt>
                <c:pt idx="16">
                  <c:v>-416</c:v>
                </c:pt>
                <c:pt idx="17">
                  <c:v>1107</c:v>
                </c:pt>
                <c:pt idx="18">
                  <c:v>-1656</c:v>
                </c:pt>
                <c:pt idx="19">
                  <c:v>1310</c:v>
                </c:pt>
                <c:pt idx="20">
                  <c:v>1091</c:v>
                </c:pt>
                <c:pt idx="21">
                  <c:v>1007</c:v>
                </c:pt>
                <c:pt idx="22">
                  <c:v>117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6E5-459B-87F1-273F0088D425}"/>
            </c:ext>
          </c:extLst>
        </c:ser>
        <c:ser>
          <c:idx val="12"/>
          <c:order val="12"/>
          <c:tx>
            <c:strRef>
              <c:f>תזרים!$B$17</c:f>
              <c:strCache>
                <c:ptCount val="1"/>
                <c:pt idx="0">
                  <c:v>סה"כ שינויים בהון החוזר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תזרים!$C$17:$Z$17</c:f>
              <c:numCache>
                <c:formatCode>#,##0_ ;[Red]\(#,##0\)</c:formatCode>
                <c:ptCount val="24"/>
                <c:pt idx="0">
                  <c:v>11098</c:v>
                </c:pt>
                <c:pt idx="1">
                  <c:v>-32880</c:v>
                </c:pt>
                <c:pt idx="2">
                  <c:v>1946</c:v>
                </c:pt>
                <c:pt idx="3">
                  <c:v>2737</c:v>
                </c:pt>
                <c:pt idx="4">
                  <c:v>8294</c:v>
                </c:pt>
                <c:pt idx="5">
                  <c:v>1711</c:v>
                </c:pt>
                <c:pt idx="6">
                  <c:v>2874</c:v>
                </c:pt>
                <c:pt idx="7">
                  <c:v>28390</c:v>
                </c:pt>
                <c:pt idx="8">
                  <c:v>726</c:v>
                </c:pt>
                <c:pt idx="9">
                  <c:v>-5773</c:v>
                </c:pt>
                <c:pt idx="10">
                  <c:v>9608</c:v>
                </c:pt>
                <c:pt idx="11">
                  <c:v>-14326</c:v>
                </c:pt>
                <c:pt idx="12">
                  <c:v>2250</c:v>
                </c:pt>
                <c:pt idx="13">
                  <c:v>-5354</c:v>
                </c:pt>
                <c:pt idx="14">
                  <c:v>1872</c:v>
                </c:pt>
                <c:pt idx="15">
                  <c:v>4321</c:v>
                </c:pt>
                <c:pt idx="16">
                  <c:v>-9191</c:v>
                </c:pt>
                <c:pt idx="17">
                  <c:v>-10185</c:v>
                </c:pt>
                <c:pt idx="18">
                  <c:v>-3870</c:v>
                </c:pt>
                <c:pt idx="19">
                  <c:v>-8070</c:v>
                </c:pt>
                <c:pt idx="20">
                  <c:v>-3385</c:v>
                </c:pt>
                <c:pt idx="21">
                  <c:v>-183</c:v>
                </c:pt>
                <c:pt idx="22">
                  <c:v>16716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6E5-459B-87F1-273F0088D425}"/>
            </c:ext>
          </c:extLst>
        </c:ser>
        <c:ser>
          <c:idx val="13"/>
          <c:order val="13"/>
          <c:tx>
            <c:strRef>
              <c:f>תזרים!$B$18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תזרים!$C$18:$Z$18</c:f>
              <c:numCache>
                <c:formatCode>#,##0_ ;[Red]\(#,##0\)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6E5-459B-87F1-273F0088D425}"/>
            </c:ext>
          </c:extLst>
        </c:ser>
        <c:ser>
          <c:idx val="14"/>
          <c:order val="14"/>
          <c:tx>
            <c:strRef>
              <c:f>תזרים!$B$19</c:f>
              <c:strCache>
                <c:ptCount val="1"/>
                <c:pt idx="0">
                  <c:v>התאמות אחר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תזרים!$C$1:$Z$4</c:f>
              <c:multiLvlStrCache>
                <c:ptCount val="24"/>
                <c:lvl>
                  <c:pt idx="0">
                    <c:v>-215%</c:v>
                  </c:pt>
                  <c:pt idx="1">
                    <c:v>22%</c:v>
                  </c:pt>
                  <c:pt idx="2">
                    <c:v>8%</c:v>
                  </c:pt>
                  <c:pt idx="3">
                    <c:v>7888%</c:v>
                  </c:pt>
                </c:lvl>
                <c:lvl>
                  <c:pt idx="0">
                    <c:v>2016</c:v>
                  </c:pt>
                  <c:pt idx="1">
                    <c:v>2015</c:v>
                  </c:pt>
                  <c:pt idx="2">
                    <c:v>2014</c:v>
                  </c:pt>
                  <c:pt idx="3">
                    <c:v>2013</c:v>
                  </c:pt>
                  <c:pt idx="4">
                    <c:v>2012</c:v>
                  </c:pt>
                  <c:pt idx="5">
                    <c:v>2011</c:v>
                  </c:pt>
                  <c:pt idx="6">
                    <c:v>2010</c:v>
                  </c:pt>
                  <c:pt idx="7">
                    <c:v>2009</c:v>
                  </c:pt>
                  <c:pt idx="8">
                    <c:v>2008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2003</c:v>
                  </c:pt>
                  <c:pt idx="14">
                    <c:v>2002</c:v>
                  </c:pt>
                  <c:pt idx="15">
                    <c:v>2001</c:v>
                  </c:pt>
                  <c:pt idx="16">
                    <c:v>2000</c:v>
                  </c:pt>
                  <c:pt idx="17">
                    <c:v>1999</c:v>
                  </c:pt>
                  <c:pt idx="18">
                    <c:v>1998</c:v>
                  </c:pt>
                  <c:pt idx="19">
                    <c:v>1997</c:v>
                  </c:pt>
                  <c:pt idx="20">
                    <c:v>1996</c:v>
                  </c:pt>
                  <c:pt idx="21">
                    <c:v>1995</c:v>
                  </c:pt>
                  <c:pt idx="22">
                    <c:v>1994</c:v>
                  </c:pt>
                  <c:pt idx="23">
                    <c:v>1993</c:v>
                  </c:pt>
                </c:lvl>
              </c:multiLvlStrCache>
            </c:multiLvlStrRef>
          </c:cat>
          <c:val>
            <c:numRef>
              <c:f>תזרים!$C$19:$Z$19</c:f>
              <c:numCache>
                <c:formatCode>#,##0_ ;[Red]\(#,##0\)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-159</c:v>
                </c:pt>
                <c:pt idx="4">
                  <c:v>137</c:v>
                </c:pt>
                <c:pt idx="5">
                  <c:v>-81</c:v>
                </c:pt>
                <c:pt idx="6">
                  <c:v>-66</c:v>
                </c:pt>
                <c:pt idx="7">
                  <c:v>4749</c:v>
                </c:pt>
                <c:pt idx="8">
                  <c:v>-269</c:v>
                </c:pt>
                <c:pt idx="9">
                  <c:v>513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6E5-459B-87F1-273F0088D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255416"/>
        <c:axId val="697254760"/>
      </c:lineChart>
      <c:catAx>
        <c:axId val="69725541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97254760"/>
        <c:crosses val="autoZero"/>
        <c:auto val="1"/>
        <c:lblAlgn val="ctr"/>
        <c:lblOffset val="100"/>
        <c:noMultiLvlLbl val="0"/>
      </c:catAx>
      <c:valAx>
        <c:axId val="69725476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97255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'יחסים 2'!$O$2</c:f>
              <c:strCache>
                <c:ptCount val="1"/>
                <c:pt idx="0">
                  <c:v>הון עצמי מהמאזן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'יחסים 2'!$P$1:$U$1</c:f>
              <c:strCache>
                <c:ptCount val="6"/>
                <c:pt idx="0">
                  <c:v>2017 Q2</c:v>
                </c:pt>
                <c:pt idx="1">
                  <c:v>2016</c:v>
                </c:pt>
                <c:pt idx="2">
                  <c:v>2015</c:v>
                </c:pt>
                <c:pt idx="3">
                  <c:v>2014</c:v>
                </c:pt>
                <c:pt idx="4">
                  <c:v>2013</c:v>
                </c:pt>
                <c:pt idx="5">
                  <c:v>2012</c:v>
                </c:pt>
              </c:strCache>
            </c:strRef>
          </c:cat>
          <c:val>
            <c:numRef>
              <c:f>'יחסים 2'!$P$2:$U$2</c:f>
              <c:numCache>
                <c:formatCode>0%</c:formatCode>
                <c:ptCount val="6"/>
                <c:pt idx="0">
                  <c:v>0.31529191677942553</c:v>
                </c:pt>
                <c:pt idx="1">
                  <c:v>0.3109335692614289</c:v>
                </c:pt>
                <c:pt idx="2">
                  <c:v>0.33368550950030429</c:v>
                </c:pt>
                <c:pt idx="3">
                  <c:v>0.1726914132642548</c:v>
                </c:pt>
                <c:pt idx="4">
                  <c:v>0.10099228027439952</c:v>
                </c:pt>
                <c:pt idx="5">
                  <c:v>2.7940204615989495E-3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4C-4A30-8729-121029950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370488"/>
        <c:axId val="623360648"/>
      </c:lineChart>
      <c:catAx>
        <c:axId val="62337048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23360648"/>
        <c:crosses val="autoZero"/>
        <c:auto val="1"/>
        <c:lblAlgn val="ctr"/>
        <c:lblOffset val="100"/>
        <c:noMultiLvlLbl val="0"/>
      </c:catAx>
      <c:valAx>
        <c:axId val="62336064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23370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יחס השינוי בשער</a:t>
            </a:r>
            <a:r>
              <a:rPr lang="he-IL" baseline="0"/>
              <a:t> מול </a:t>
            </a:r>
            <a:r>
              <a:rPr lang="en-US" baseline="0"/>
              <a:t>EV/EBITDA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EVEBITDA!$A$5</c:f>
              <c:strCache>
                <c:ptCount val="1"/>
                <c:pt idx="0">
                  <c:v>EV/EBITDA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EVEBITDA!$B$4:$I$4</c:f>
              <c:strCache>
                <c:ptCount val="8"/>
                <c:pt idx="0">
                  <c:v>TTM</c:v>
                </c:pt>
                <c:pt idx="1">
                  <c:v>31/12/2016</c:v>
                </c:pt>
                <c:pt idx="2">
                  <c:v>31/12/2015</c:v>
                </c:pt>
                <c:pt idx="3">
                  <c:v>31/12/2014</c:v>
                </c:pt>
                <c:pt idx="4">
                  <c:v>31/12/2013</c:v>
                </c:pt>
                <c:pt idx="5">
                  <c:v>31/12/2012</c:v>
                </c:pt>
                <c:pt idx="6">
                  <c:v>31/12/2011</c:v>
                </c:pt>
                <c:pt idx="7">
                  <c:v>31/12/2010</c:v>
                </c:pt>
              </c:strCache>
            </c:strRef>
          </c:cat>
          <c:val>
            <c:numRef>
              <c:f>EVEBITDA!$B$5:$I$5</c:f>
              <c:numCache>
                <c:formatCode>0%</c:formatCode>
                <c:ptCount val="8"/>
                <c:pt idx="0">
                  <c:v>-0.59509578778476313</c:v>
                </c:pt>
                <c:pt idx="1">
                  <c:v>-0.26773151832674663</c:v>
                </c:pt>
                <c:pt idx="2">
                  <c:v>0.89314367542463624</c:v>
                </c:pt>
                <c:pt idx="3">
                  <c:v>0.20064631921960815</c:v>
                </c:pt>
                <c:pt idx="4">
                  <c:v>-0.13029624315841601</c:v>
                </c:pt>
                <c:pt idx="5">
                  <c:v>-0.66101727239223096</c:v>
                </c:pt>
                <c:pt idx="6">
                  <c:v>-0.15771132369281043</c:v>
                </c:pt>
                <c:pt idx="7">
                  <c:v>-0.2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FB-4187-89C5-5C96D145BB51}"/>
            </c:ext>
          </c:extLst>
        </c:ser>
        <c:ser>
          <c:idx val="1"/>
          <c:order val="1"/>
          <c:tx>
            <c:strRef>
              <c:f>EVEBITDA!$A$6</c:f>
              <c:strCache>
                <c:ptCount val="1"/>
                <c:pt idx="0">
                  <c:v>שער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EVEBITDA!$B$4:$I$4</c:f>
              <c:strCache>
                <c:ptCount val="8"/>
                <c:pt idx="0">
                  <c:v>TTM</c:v>
                </c:pt>
                <c:pt idx="1">
                  <c:v>31/12/2016</c:v>
                </c:pt>
                <c:pt idx="2">
                  <c:v>31/12/2015</c:v>
                </c:pt>
                <c:pt idx="3">
                  <c:v>31/12/2014</c:v>
                </c:pt>
                <c:pt idx="4">
                  <c:v>31/12/2013</c:v>
                </c:pt>
                <c:pt idx="5">
                  <c:v>31/12/2012</c:v>
                </c:pt>
                <c:pt idx="6">
                  <c:v>31/12/2011</c:v>
                </c:pt>
                <c:pt idx="7">
                  <c:v>31/12/2010</c:v>
                </c:pt>
              </c:strCache>
            </c:strRef>
          </c:cat>
          <c:val>
            <c:numRef>
              <c:f>EVEBITDA!$B$6:$I$6</c:f>
              <c:numCache>
                <c:formatCode>0%</c:formatCode>
                <c:ptCount val="8"/>
                <c:pt idx="0">
                  <c:v>-0.40842105263157891</c:v>
                </c:pt>
                <c:pt idx="1">
                  <c:v>0.14457831325301204</c:v>
                </c:pt>
                <c:pt idx="2">
                  <c:v>0.296875</c:v>
                </c:pt>
                <c:pt idx="3">
                  <c:v>0.56479217603911991</c:v>
                </c:pt>
                <c:pt idx="4">
                  <c:v>-0.36431457880012441</c:v>
                </c:pt>
                <c:pt idx="5">
                  <c:v>-0.44677558039552878</c:v>
                </c:pt>
                <c:pt idx="6">
                  <c:v>-0.14283608490566044</c:v>
                </c:pt>
                <c:pt idx="7">
                  <c:v>-0.14006844974014446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FB-4187-89C5-5C96D145B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068856"/>
        <c:axId val="792072136"/>
      </c:lineChart>
      <c:catAx>
        <c:axId val="79206885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92072136"/>
        <c:crosses val="autoZero"/>
        <c:auto val="1"/>
        <c:lblAlgn val="ctr"/>
        <c:lblOffset val="100"/>
        <c:noMultiLvlLbl val="0"/>
      </c:catAx>
      <c:valAx>
        <c:axId val="79207213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92068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ציוד!$A$2</c:f>
              <c:strCache>
                <c:ptCount val="1"/>
                <c:pt idx="0">
                  <c:v>ציוד נטו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ציוד!$E$1:$K$1</c:f>
              <c:numCache>
                <c:formatCode>General</c:formatCode>
                <c:ptCount val="7"/>
                <c:pt idx="0">
                  <c:v>2016</c:v>
                </c:pt>
                <c:pt idx="1">
                  <c:v>2015</c:v>
                </c:pt>
                <c:pt idx="2">
                  <c:v>2014</c:v>
                </c:pt>
                <c:pt idx="3">
                  <c:v>2013</c:v>
                </c:pt>
                <c:pt idx="4">
                  <c:v>2012</c:v>
                </c:pt>
                <c:pt idx="5">
                  <c:v>2011</c:v>
                </c:pt>
                <c:pt idx="6">
                  <c:v>2010</c:v>
                </c:pt>
              </c:numCache>
            </c:numRef>
          </c:cat>
          <c:val>
            <c:numRef>
              <c:f>ציוד!$E$2:$K$2</c:f>
              <c:numCache>
                <c:formatCode>#,##0_ ;[Red]\(#,##0\)</c:formatCode>
                <c:ptCount val="7"/>
                <c:pt idx="0">
                  <c:v>29624</c:v>
                </c:pt>
                <c:pt idx="1">
                  <c:v>31223</c:v>
                </c:pt>
                <c:pt idx="2">
                  <c:v>26165</c:v>
                </c:pt>
                <c:pt idx="3">
                  <c:v>23740</c:v>
                </c:pt>
                <c:pt idx="4">
                  <c:v>25332</c:v>
                </c:pt>
                <c:pt idx="5">
                  <c:v>28420</c:v>
                </c:pt>
                <c:pt idx="6">
                  <c:v>31658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E9-4B3B-B9AB-B37ED554D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568952"/>
        <c:axId val="618571576"/>
      </c:lineChart>
      <c:catAx>
        <c:axId val="61856895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18571576"/>
        <c:crosses val="autoZero"/>
        <c:auto val="1"/>
        <c:lblAlgn val="ctr"/>
        <c:lblOffset val="100"/>
        <c:noMultiLvlLbl val="0"/>
      </c:catAx>
      <c:valAx>
        <c:axId val="61857157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18568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צמיחה!$F$2</c:f>
              <c:strCache>
                <c:ptCount val="1"/>
                <c:pt idx="0">
                  <c:v>שיעור השינוי בתמ"ג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צמיחה!$E$3:$E$10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ממוצע</c:v>
                </c:pt>
              </c:strCache>
            </c:strRef>
          </c:cat>
          <c:val>
            <c:numRef>
              <c:f>צמיחה!$F$3:$F$10</c:f>
              <c:numCache>
                <c:formatCode>0.00%</c:formatCode>
                <c:ptCount val="8"/>
                <c:pt idx="0">
                  <c:v>5.7000000000000002E-2</c:v>
                </c:pt>
                <c:pt idx="1">
                  <c:v>5.0999999999999997E-2</c:v>
                </c:pt>
                <c:pt idx="2">
                  <c:v>2.4E-2</c:v>
                </c:pt>
                <c:pt idx="3">
                  <c:v>4.3999999999999997E-2</c:v>
                </c:pt>
                <c:pt idx="4">
                  <c:v>3.2000000000000001E-2</c:v>
                </c:pt>
                <c:pt idx="5">
                  <c:v>2.5000000000000001E-2</c:v>
                </c:pt>
                <c:pt idx="6">
                  <c:v>3.7999999999999999E-2</c:v>
                </c:pt>
                <c:pt idx="7">
                  <c:v>3.8714285714285708E-2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60-492E-BDA1-503AE127C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2450368"/>
        <c:axId val="692446760"/>
      </c:barChart>
      <c:catAx>
        <c:axId val="69245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92446760"/>
        <c:crosses val="autoZero"/>
        <c:auto val="0"/>
        <c:lblAlgn val="ctr"/>
        <c:lblOffset val="100"/>
        <c:noMultiLvlLbl val="0"/>
      </c:catAx>
      <c:valAx>
        <c:axId val="69244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9245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צמיחה!$B$1</c:f>
              <c:strCache>
                <c:ptCount val="1"/>
                <c:pt idx="0">
                  <c:v>בסוף התקופה , סך הכל , חודש, נתונים מקוריים, אלפים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צמיחה!$A$2:$A$8</c:f>
              <c:strCache>
                <c:ptCount val="7"/>
                <c:pt idx="0">
                  <c:v>2011-12</c:v>
                </c:pt>
                <c:pt idx="1">
                  <c:v>2012-12</c:v>
                </c:pt>
                <c:pt idx="2">
                  <c:v>2013-12</c:v>
                </c:pt>
                <c:pt idx="3">
                  <c:v>2014-12</c:v>
                </c:pt>
                <c:pt idx="4">
                  <c:v>2015-12</c:v>
                </c:pt>
                <c:pt idx="5">
                  <c:v>2016-12</c:v>
                </c:pt>
                <c:pt idx="6">
                  <c:v>ממוצע</c:v>
                </c:pt>
              </c:strCache>
            </c:strRef>
          </c:cat>
          <c:val>
            <c:numRef>
              <c:f>צמיחה!$B$2:$B$8</c:f>
            </c:numRef>
          </c:val>
          <c:extLst>
            <c:ext xmlns:c16="http://schemas.microsoft.com/office/drawing/2014/chart" uri="{C3380CC4-5D6E-409C-BE32-E72D297353CC}">
              <c16:uniqueId val="{00000000-A83C-44F7-9267-102CB3E31588}"/>
            </c:ext>
          </c:extLst>
        </c:ser>
        <c:ser>
          <c:idx val="1"/>
          <c:order val="1"/>
          <c:tx>
            <c:strRef>
              <c:f>צמיחה!$C$1</c:f>
              <c:strCache>
                <c:ptCount val="1"/>
                <c:pt idx="0">
                  <c:v>שיעור גידול שנתי באוכלוסיה בסוף התקופה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צמיחה!$A$2:$A$8</c:f>
              <c:strCache>
                <c:ptCount val="7"/>
                <c:pt idx="0">
                  <c:v>2011-12</c:v>
                </c:pt>
                <c:pt idx="1">
                  <c:v>2012-12</c:v>
                </c:pt>
                <c:pt idx="2">
                  <c:v>2013-12</c:v>
                </c:pt>
                <c:pt idx="3">
                  <c:v>2014-12</c:v>
                </c:pt>
                <c:pt idx="4">
                  <c:v>2015-12</c:v>
                </c:pt>
                <c:pt idx="5">
                  <c:v>2016-12</c:v>
                </c:pt>
                <c:pt idx="6">
                  <c:v>ממוצע</c:v>
                </c:pt>
              </c:strCache>
            </c:strRef>
          </c:cat>
          <c:val>
            <c:numRef>
              <c:f>צמיחה!$C$2:$C$8</c:f>
              <c:numCache>
                <c:formatCode>0.00%</c:formatCode>
                <c:ptCount val="7"/>
                <c:pt idx="0">
                  <c:v>1.84E-2</c:v>
                </c:pt>
                <c:pt idx="1">
                  <c:v>1.8872980629354608E-2</c:v>
                </c:pt>
                <c:pt idx="2">
                  <c:v>1.8786398647379299E-2</c:v>
                </c:pt>
                <c:pt idx="3">
                  <c:v>1.9964349376114132E-2</c:v>
                </c:pt>
                <c:pt idx="4">
                  <c:v>2.0067736142414638E-2</c:v>
                </c:pt>
                <c:pt idx="5">
                  <c:v>1.9519342108372584E-2</c:v>
                </c:pt>
                <c:pt idx="6">
                  <c:v>1.9268467817272542E-2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3C-44F7-9267-102CB3E31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429944"/>
        <c:axId val="695428632"/>
      </c:barChart>
      <c:catAx>
        <c:axId val="69542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95428632"/>
        <c:crosses val="autoZero"/>
        <c:auto val="1"/>
        <c:lblAlgn val="ctr"/>
        <c:lblOffset val="100"/>
        <c:noMultiLvlLbl val="0"/>
      </c:catAx>
      <c:valAx>
        <c:axId val="695428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95429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280988</xdr:colOff>
      <xdr:row>11</xdr:row>
      <xdr:rowOff>80962</xdr:rowOff>
    </xdr:from>
    <xdr:to>
      <xdr:col>15</xdr:col>
      <xdr:colOff>571500</xdr:colOff>
      <xdr:row>29</xdr:row>
      <xdr:rowOff>171450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4868AAE6-A749-4045-A21E-8D1447B32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138113</xdr:colOff>
      <xdr:row>93</xdr:row>
      <xdr:rowOff>61912</xdr:rowOff>
    </xdr:from>
    <xdr:to>
      <xdr:col>24</xdr:col>
      <xdr:colOff>109538</xdr:colOff>
      <xdr:row>108</xdr:row>
      <xdr:rowOff>90487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77FA2BD7-B71F-4275-8A70-845A3DC56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357189</xdr:colOff>
      <xdr:row>8</xdr:row>
      <xdr:rowOff>133350</xdr:rowOff>
    </xdr:from>
    <xdr:to>
      <xdr:col>22</xdr:col>
      <xdr:colOff>285750</xdr:colOff>
      <xdr:row>17</xdr:row>
      <xdr:rowOff>166686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5ABAD827-73CD-4BC6-A231-16EE22AC2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681038</xdr:colOff>
      <xdr:row>8</xdr:row>
      <xdr:rowOff>152400</xdr:rowOff>
    </xdr:from>
    <xdr:to>
      <xdr:col>11</xdr:col>
      <xdr:colOff>252413</xdr:colOff>
      <xdr:row>24</xdr:row>
      <xdr:rowOff>0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2898793D-6402-4082-BDB1-A2AED3338B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71438</xdr:colOff>
      <xdr:row>2</xdr:row>
      <xdr:rowOff>114300</xdr:rowOff>
    </xdr:from>
    <xdr:to>
      <xdr:col>20</xdr:col>
      <xdr:colOff>133350</xdr:colOff>
      <xdr:row>14</xdr:row>
      <xdr:rowOff>176212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C4F970F8-1FE4-4D62-BC31-4E79C80CD0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447675</xdr:colOff>
      <xdr:row>8</xdr:row>
      <xdr:rowOff>4762</xdr:rowOff>
    </xdr:from>
    <xdr:ext cx="224916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44ED6F5-9B51-4996-BBC5-ABF37D84CA69}"/>
                </a:ext>
              </a:extLst>
            </xdr:cNvPr>
            <xdr:cNvSpPr txBox="1"/>
          </xdr:nvSpPr>
          <xdr:spPr>
            <a:xfrm>
              <a:off x="11229311934" y="1995487"/>
              <a:ext cx="2249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e-IL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</m:oMath>
                </m:oMathPara>
              </a14:m>
              <a:endParaRPr lang="he-IL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44ED6F5-9B51-4996-BBC5-ABF37D84CA69}"/>
                </a:ext>
              </a:extLst>
            </xdr:cNvPr>
            <xdr:cNvSpPr txBox="1"/>
          </xdr:nvSpPr>
          <xdr:spPr>
            <a:xfrm>
              <a:off x="11229311934" y="1995487"/>
              <a:ext cx="2249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𝐵</a:t>
              </a:r>
              <a:r>
                <a:rPr lang="he-IL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𝑒</a:t>
              </a:r>
              <a:endParaRPr lang="he-IL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26</xdr:row>
      <xdr:rowOff>104775</xdr:rowOff>
    </xdr:to>
    <xdr:sp macro="" textlink="">
      <xdr:nvSpPr>
        <xdr:cNvPr id="10241" name="צורה אוטומטית 1" descr="C:\Users\Tal Mizrahi\Downloads\1.4565494.3372159369.webp">
          <a:extLst>
            <a:ext uri="{FF2B5EF4-FFF2-40B4-BE49-F238E27FC236}">
              <a16:creationId xmlns:a16="http://schemas.microsoft.com/office/drawing/2014/main" id="{6867DF19-5F6E-4017-A99B-E0BCCD172F37}"/>
            </a:ext>
          </a:extLst>
        </xdr:cNvPr>
        <xdr:cNvSpPr>
          <a:spLocks noChangeAspect="1" noChangeArrowheads="1"/>
        </xdr:cNvSpPr>
      </xdr:nvSpPr>
      <xdr:spPr bwMode="auto">
        <a:xfrm>
          <a:off x="11232413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104775</xdr:rowOff>
    </xdr:to>
    <xdr:sp macro="" textlink="">
      <xdr:nvSpPr>
        <xdr:cNvPr id="10242" name="צורה אוטומטית 2" descr="C:\Users\Tal Mizrahi\Downloads\1.4565494.3372159369.webp">
          <a:extLst>
            <a:ext uri="{FF2B5EF4-FFF2-40B4-BE49-F238E27FC236}">
              <a16:creationId xmlns:a16="http://schemas.microsoft.com/office/drawing/2014/main" id="{12060970-9C77-4B23-AAA4-BCD9659A3790}"/>
            </a:ext>
          </a:extLst>
        </xdr:cNvPr>
        <xdr:cNvSpPr>
          <a:spLocks noChangeAspect="1" noChangeArrowheads="1"/>
        </xdr:cNvSpPr>
      </xdr:nvSpPr>
      <xdr:spPr bwMode="auto">
        <a:xfrm>
          <a:off x="112344708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18</xdr:row>
      <xdr:rowOff>0</xdr:rowOff>
    </xdr:from>
    <xdr:ext cx="304800" cy="304800"/>
    <xdr:sp macro="" textlink="">
      <xdr:nvSpPr>
        <xdr:cNvPr id="4" name="צורה אוטומטית 1" descr="C:\Users\Tal Mizrahi\Downloads\1.4565494.3372159369.webp">
          <a:extLst>
            <a:ext uri="{FF2B5EF4-FFF2-40B4-BE49-F238E27FC236}">
              <a16:creationId xmlns:a16="http://schemas.microsoft.com/office/drawing/2014/main" id="{CD0AC678-2017-4A58-8C26-54CE02169C5F}"/>
            </a:ext>
          </a:extLst>
        </xdr:cNvPr>
        <xdr:cNvSpPr>
          <a:spLocks noChangeAspect="1" noChangeArrowheads="1"/>
        </xdr:cNvSpPr>
      </xdr:nvSpPr>
      <xdr:spPr bwMode="auto">
        <a:xfrm>
          <a:off x="11232413400" y="383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304800" cy="304800"/>
    <xdr:sp macro="" textlink="">
      <xdr:nvSpPr>
        <xdr:cNvPr id="6" name="צורה אוטומטית 1" descr="C:\Users\Tal Mizrahi\Downloads\1.4565494.3372159369.webp">
          <a:extLst>
            <a:ext uri="{FF2B5EF4-FFF2-40B4-BE49-F238E27FC236}">
              <a16:creationId xmlns:a16="http://schemas.microsoft.com/office/drawing/2014/main" id="{C843B0ED-CD09-4C17-9096-8AFE4DA408FE}"/>
            </a:ext>
          </a:extLst>
        </xdr:cNvPr>
        <xdr:cNvSpPr>
          <a:spLocks noChangeAspect="1" noChangeArrowheads="1"/>
        </xdr:cNvSpPr>
      </xdr:nvSpPr>
      <xdr:spPr bwMode="auto">
        <a:xfrm>
          <a:off x="11232413400" y="347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0</xdr:row>
      <xdr:rowOff>100012</xdr:rowOff>
    </xdr:from>
    <xdr:to>
      <xdr:col>13</xdr:col>
      <xdr:colOff>314325</xdr:colOff>
      <xdr:row>10</xdr:row>
      <xdr:rowOff>90487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AFC65154-ACAD-4977-817A-2724883765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171450</xdr:colOff>
      <xdr:row>12</xdr:row>
      <xdr:rowOff>119062</xdr:rowOff>
    </xdr:from>
    <xdr:to>
      <xdr:col>11</xdr:col>
      <xdr:colOff>628650</xdr:colOff>
      <xdr:row>27</xdr:row>
      <xdr:rowOff>147637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3E16CC3A-B914-417E-BF40-D6BDB5868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638175</xdr:colOff>
      <xdr:row>4</xdr:row>
      <xdr:rowOff>142875</xdr:rowOff>
    </xdr:from>
    <xdr:to>
      <xdr:col>22</xdr:col>
      <xdr:colOff>419100</xdr:colOff>
      <xdr:row>24</xdr:row>
      <xdr:rowOff>133351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448762A8-13CF-41AD-A63D-DBE2744199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7224" t="25915" r="26943" b="19521"/>
        <a:stretch/>
      </xdr:blipFill>
      <xdr:spPr>
        <a:xfrm>
          <a:off x="11220640500" y="1343025"/>
          <a:ext cx="5962650" cy="3990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pages.stern.nyu.edu/~adamodar/New_Home_Page/datafile/ctryprem.ht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pages.stern.nyu.edu/~adamodar/New_Home_Page/datafile/ctryprem.html%20&#1504;&#1500;&#1511;&#1495;%20&#1500;&#1508;&#1497;%20&#1491;&#1502;&#1493;&#1491;&#1512;&#1503;.%20&#1502;&#1511;&#1493;&#1512;: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rightToLeft="1" tabSelected="1" workbookViewId="0"/>
  </sheetViews>
  <sheetFormatPr defaultRowHeight="14.25"/>
  <cols>
    <col min="1" max="1" width="28.875" bestFit="1" customWidth="1"/>
  </cols>
  <sheetData>
    <row r="1" spans="1:4">
      <c r="A1" s="1"/>
      <c r="B1" s="2">
        <v>2016</v>
      </c>
      <c r="C1" s="2">
        <f>B1-1</f>
        <v>2015</v>
      </c>
      <c r="D1" s="2">
        <f>C1-1</f>
        <v>2014</v>
      </c>
    </row>
    <row r="2" spans="1:4">
      <c r="A2" s="3" t="s">
        <v>0</v>
      </c>
      <c r="B2" s="4">
        <v>178417</v>
      </c>
      <c r="C2" s="4">
        <v>150357</v>
      </c>
      <c r="D2" s="4">
        <v>125576</v>
      </c>
    </row>
    <row r="3" spans="1:4">
      <c r="A3" s="3" t="s">
        <v>1</v>
      </c>
      <c r="B3" s="4">
        <v>17763</v>
      </c>
      <c r="C3" s="4">
        <v>13802</v>
      </c>
      <c r="D3" s="4">
        <v>10998</v>
      </c>
    </row>
    <row r="4" spans="1:4">
      <c r="A4" s="3" t="s">
        <v>2</v>
      </c>
      <c r="B4" s="4">
        <f>SUM(B2:B3)</f>
        <v>196180</v>
      </c>
      <c r="C4" s="4">
        <f>SUM(C2:C3)</f>
        <v>164159</v>
      </c>
      <c r="D4" s="4">
        <f>SUM(D2:D3)</f>
        <v>136574</v>
      </c>
    </row>
    <row r="5" spans="1:4">
      <c r="A5" s="3" t="s">
        <v>3</v>
      </c>
      <c r="B5" s="4">
        <v>71711</v>
      </c>
      <c r="C5" s="4">
        <v>73593</v>
      </c>
      <c r="D5" s="4">
        <v>76990</v>
      </c>
    </row>
    <row r="6" spans="1:4">
      <c r="A6" s="3" t="s">
        <v>4</v>
      </c>
      <c r="B6" s="4">
        <v>23851</v>
      </c>
      <c r="C6" s="4">
        <v>18172</v>
      </c>
      <c r="D6" s="4">
        <v>17763</v>
      </c>
    </row>
    <row r="7" spans="1:4">
      <c r="A7" s="3" t="s">
        <v>5</v>
      </c>
      <c r="B7" s="4">
        <v>2071</v>
      </c>
      <c r="C7" s="4">
        <v>3582</v>
      </c>
      <c r="D7" s="4">
        <v>-1520</v>
      </c>
    </row>
    <row r="8" spans="1:4">
      <c r="A8" s="3" t="s">
        <v>6</v>
      </c>
      <c r="B8" s="4">
        <v>7035</v>
      </c>
      <c r="C8" s="4">
        <v>5180</v>
      </c>
      <c r="D8" s="4">
        <v>4072</v>
      </c>
    </row>
    <row r="9" spans="1:4">
      <c r="A9" s="3" t="s">
        <v>7</v>
      </c>
      <c r="B9" s="4">
        <v>42811</v>
      </c>
      <c r="C9" s="4">
        <v>22068</v>
      </c>
      <c r="D9" s="4">
        <v>1509</v>
      </c>
    </row>
    <row r="10" spans="1:4">
      <c r="A10" s="3" t="s">
        <v>8</v>
      </c>
      <c r="B10" s="4">
        <v>20003</v>
      </c>
      <c r="C10" s="4">
        <v>15655</v>
      </c>
      <c r="D10" s="4">
        <v>15518</v>
      </c>
    </row>
    <row r="11" spans="1:4">
      <c r="A11" s="3" t="s">
        <v>9</v>
      </c>
      <c r="B11" s="4">
        <f>SUM(B5:B10)</f>
        <v>167482</v>
      </c>
      <c r="C11" s="4">
        <f>SUM(C5:C10)</f>
        <v>138250</v>
      </c>
      <c r="D11" s="4">
        <f>SUM(D5:D10)</f>
        <v>114332</v>
      </c>
    </row>
    <row r="12" spans="1:4" ht="15">
      <c r="A12" s="5" t="s">
        <v>10</v>
      </c>
      <c r="B12" s="6">
        <f>B4-B11</f>
        <v>28698</v>
      </c>
      <c r="C12" s="6">
        <f>C4-C11</f>
        <v>25909</v>
      </c>
      <c r="D12" s="6">
        <f>D4-D11</f>
        <v>22242</v>
      </c>
    </row>
    <row r="13" spans="1:4">
      <c r="A13" s="3" t="s">
        <v>11</v>
      </c>
      <c r="B13" s="4"/>
      <c r="C13" s="4"/>
      <c r="D13" s="4"/>
    </row>
    <row r="14" spans="1:4">
      <c r="A14" s="3" t="s">
        <v>12</v>
      </c>
      <c r="B14" s="4">
        <v>0</v>
      </c>
      <c r="C14" s="4">
        <v>0</v>
      </c>
      <c r="D14" s="4">
        <v>0</v>
      </c>
    </row>
    <row r="15" spans="1:4">
      <c r="A15" s="3" t="s">
        <v>13</v>
      </c>
      <c r="B15" s="4">
        <v>11170</v>
      </c>
      <c r="C15" s="4">
        <v>9262</v>
      </c>
      <c r="D15" s="4">
        <v>5690</v>
      </c>
    </row>
    <row r="16" spans="1:4">
      <c r="A16" s="3" t="s">
        <v>14</v>
      </c>
      <c r="B16" s="4">
        <v>12109</v>
      </c>
      <c r="C16" s="4">
        <v>11339</v>
      </c>
      <c r="D16" s="4">
        <v>9751</v>
      </c>
    </row>
    <row r="17" spans="1:4">
      <c r="A17" s="3" t="s">
        <v>15</v>
      </c>
      <c r="B17" s="4">
        <f>SUM(B14:B16)</f>
        <v>23279</v>
      </c>
      <c r="C17" s="4">
        <f>SUM(C14:C16)</f>
        <v>20601</v>
      </c>
      <c r="D17" s="4">
        <f>SUM(D14:D16)</f>
        <v>15441</v>
      </c>
    </row>
    <row r="18" spans="1:4" ht="15">
      <c r="A18" s="5" t="s">
        <v>16</v>
      </c>
      <c r="B18" s="6">
        <f>B12-B17</f>
        <v>5419</v>
      </c>
      <c r="C18" s="6">
        <f>C12-C17</f>
        <v>5308</v>
      </c>
      <c r="D18" s="6">
        <f>D12-D17</f>
        <v>6801</v>
      </c>
    </row>
    <row r="19" spans="1:4">
      <c r="A19" s="3" t="s">
        <v>17</v>
      </c>
      <c r="B19" s="4">
        <v>6378</v>
      </c>
      <c r="C19" s="4">
        <v>7624</v>
      </c>
      <c r="D19" s="4">
        <v>4112</v>
      </c>
    </row>
    <row r="20" spans="1:4" ht="15">
      <c r="A20" s="5" t="s">
        <v>18</v>
      </c>
      <c r="B20" s="6">
        <f>B18-B19</f>
        <v>-959</v>
      </c>
      <c r="C20" s="6">
        <f>C18-C19</f>
        <v>-2316</v>
      </c>
      <c r="D20" s="6">
        <f>D18-D19</f>
        <v>2689</v>
      </c>
    </row>
    <row r="21" spans="1:4">
      <c r="A21" s="3" t="s">
        <v>19</v>
      </c>
      <c r="B21" s="4"/>
      <c r="C21" s="4"/>
      <c r="D21" s="4"/>
    </row>
    <row r="22" spans="1:4">
      <c r="A22" s="3" t="s">
        <v>20</v>
      </c>
      <c r="B22" s="4">
        <v>-8025</v>
      </c>
      <c r="C22" s="4">
        <v>106</v>
      </c>
      <c r="D22" s="4">
        <v>-965</v>
      </c>
    </row>
    <row r="23" spans="1:4">
      <c r="A23" s="3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4">
        <v>0</v>
      </c>
      <c r="C24" s="4">
        <v>0</v>
      </c>
      <c r="D24" s="4">
        <v>0</v>
      </c>
    </row>
    <row r="25" spans="1:4">
      <c r="A25" s="3" t="s">
        <v>23</v>
      </c>
      <c r="B25" s="4">
        <f>SUM(B22:B24)</f>
        <v>-8025</v>
      </c>
      <c r="C25" s="4">
        <f>SUM(C22:C24)</f>
        <v>106</v>
      </c>
      <c r="D25" s="4">
        <f>SUM(D22:D24)</f>
        <v>-965</v>
      </c>
    </row>
    <row r="26" spans="1:4">
      <c r="A26" s="3" t="s">
        <v>24</v>
      </c>
      <c r="B26" s="4">
        <v>-71</v>
      </c>
      <c r="C26" s="4">
        <v>0</v>
      </c>
      <c r="D26" s="4">
        <v>0</v>
      </c>
    </row>
    <row r="27" spans="1:4">
      <c r="A27" s="3" t="s">
        <v>25</v>
      </c>
      <c r="B27" s="4">
        <f>B25+B26</f>
        <v>-8096</v>
      </c>
      <c r="C27" s="4">
        <f>C25+C26</f>
        <v>106</v>
      </c>
      <c r="D27" s="4">
        <f>D25+D26</f>
        <v>-965</v>
      </c>
    </row>
    <row r="28" spans="1:4" ht="15">
      <c r="A28" s="5" t="s">
        <v>26</v>
      </c>
      <c r="B28" s="6">
        <f>B20+B27</f>
        <v>-9055</v>
      </c>
      <c r="C28" s="6">
        <f>C20+C27</f>
        <v>-2210</v>
      </c>
      <c r="D28" s="6">
        <f>D20+D27</f>
        <v>1724</v>
      </c>
    </row>
    <row r="29" spans="1:4">
      <c r="A29" s="3" t="s">
        <v>27</v>
      </c>
      <c r="B29" s="4">
        <v>363</v>
      </c>
      <c r="C29" s="4">
        <v>-10395</v>
      </c>
      <c r="D29" s="4">
        <v>-4979</v>
      </c>
    </row>
    <row r="30" spans="1:4" ht="15">
      <c r="A30" s="5" t="s">
        <v>28</v>
      </c>
      <c r="B30" s="6">
        <f>B28-B29</f>
        <v>-9418</v>
      </c>
      <c r="C30" s="6">
        <f>C28-C29</f>
        <v>8185</v>
      </c>
      <c r="D30" s="6">
        <f>D28-D29</f>
        <v>6703</v>
      </c>
    </row>
    <row r="31" spans="1:4">
      <c r="A31" s="7"/>
      <c r="B31" s="7"/>
      <c r="C31" s="7"/>
      <c r="D31" s="7"/>
    </row>
    <row r="32" spans="1:4" ht="28.5">
      <c r="A32" s="1" t="s">
        <v>29</v>
      </c>
      <c r="B32" s="2">
        <v>2016</v>
      </c>
      <c r="C32" s="2">
        <f>B32-1</f>
        <v>2015</v>
      </c>
      <c r="D32" s="2">
        <f>C32-1</f>
        <v>2014</v>
      </c>
    </row>
    <row r="33" spans="1:4">
      <c r="A33" s="3" t="s">
        <v>2</v>
      </c>
      <c r="B33" s="8">
        <f>B4/B$4</f>
        <v>1</v>
      </c>
      <c r="C33" s="8">
        <f>C4/C$4</f>
        <v>1</v>
      </c>
      <c r="D33" s="8">
        <f>D4/D$4</f>
        <v>1</v>
      </c>
    </row>
    <row r="34" spans="1:4">
      <c r="A34" s="3" t="s">
        <v>9</v>
      </c>
      <c r="B34" s="8">
        <f>B11/B$4</f>
        <v>0.85371597512488528</v>
      </c>
      <c r="C34" s="8">
        <f>C11/C$4</f>
        <v>0.84217130952308428</v>
      </c>
      <c r="D34" s="8">
        <f>D11/D$4</f>
        <v>0.8371432337048047</v>
      </c>
    </row>
    <row r="35" spans="1:4" ht="15">
      <c r="A35" s="5" t="s">
        <v>10</v>
      </c>
      <c r="B35" s="9">
        <f>B33-B34</f>
        <v>0.14628402487511472</v>
      </c>
      <c r="C35" s="9">
        <f>C33-C34</f>
        <v>0.15782869047691572</v>
      </c>
      <c r="D35" s="9">
        <f>D33-D34</f>
        <v>0.1628567662951953</v>
      </c>
    </row>
    <row r="36" spans="1:4">
      <c r="A36" s="3" t="s">
        <v>15</v>
      </c>
      <c r="B36" s="9">
        <v>0.11866143337751045</v>
      </c>
      <c r="C36" s="9">
        <v>0.12549418551526265</v>
      </c>
      <c r="D36" s="9">
        <v>0.11305958674418264</v>
      </c>
    </row>
    <row r="37" spans="1:4" ht="15">
      <c r="A37" s="5" t="s">
        <v>16</v>
      </c>
      <c r="B37" s="10">
        <v>2.7622591497604265E-2</v>
      </c>
      <c r="C37" s="10">
        <v>3.2334504961653077E-2</v>
      </c>
      <c r="D37" s="10">
        <v>4.9797179551012663E-2</v>
      </c>
    </row>
    <row r="38" spans="1:4">
      <c r="A38" s="3" t="s">
        <v>17</v>
      </c>
      <c r="B38" s="9">
        <v>3.2510959323070653E-2</v>
      </c>
      <c r="C38" s="9">
        <v>4.6442778038365246E-2</v>
      </c>
      <c r="D38" s="9">
        <v>3.0108219719712389E-2</v>
      </c>
    </row>
    <row r="39" spans="1:4" ht="15">
      <c r="A39" s="5" t="s">
        <v>18</v>
      </c>
      <c r="B39" s="10">
        <v>-4.8883678254663873E-3</v>
      </c>
      <c r="C39" s="10">
        <v>-1.4108273076712169E-2</v>
      </c>
      <c r="D39" s="10">
        <v>1.9688959831300274E-2</v>
      </c>
    </row>
    <row r="40" spans="1:4">
      <c r="A40" s="3" t="s">
        <v>23</v>
      </c>
      <c r="B40" s="9">
        <v>-4.0906310531144865E-2</v>
      </c>
      <c r="C40" s="9">
        <v>6.4571543442637925E-4</v>
      </c>
      <c r="D40" s="9">
        <v>-7.0657665441445664E-3</v>
      </c>
    </row>
    <row r="41" spans="1:4">
      <c r="A41" s="3" t="s">
        <v>24</v>
      </c>
      <c r="B41" s="9">
        <v>-3.6191252930981753E-4</v>
      </c>
      <c r="C41" s="9">
        <v>0</v>
      </c>
      <c r="D41" s="9">
        <v>0</v>
      </c>
    </row>
    <row r="42" spans="1:4">
      <c r="A42" s="3" t="s">
        <v>25</v>
      </c>
      <c r="B42" s="9">
        <v>-4.1268223060454683E-2</v>
      </c>
      <c r="C42" s="9">
        <v>6.4571543442637925E-4</v>
      </c>
      <c r="D42" s="9">
        <v>-7.0657665441445664E-3</v>
      </c>
    </row>
    <row r="43" spans="1:4" ht="15">
      <c r="A43" s="5" t="s">
        <v>26</v>
      </c>
      <c r="B43" s="10">
        <v>-4.615659088592107E-2</v>
      </c>
      <c r="C43" s="10">
        <v>-1.3462557642285791E-2</v>
      </c>
      <c r="D43" s="10">
        <v>1.2623193287155707E-2</v>
      </c>
    </row>
    <row r="44" spans="1:4">
      <c r="A44" s="3" t="s">
        <v>27</v>
      </c>
      <c r="B44" s="9">
        <v>1.8503415230910389E-3</v>
      </c>
      <c r="C44" s="9">
        <v>-6.3322754159077482E-2</v>
      </c>
      <c r="D44" s="9">
        <v>-3.645642655263813E-2</v>
      </c>
    </row>
    <row r="45" spans="1:4" ht="15">
      <c r="A45" s="5" t="s">
        <v>28</v>
      </c>
      <c r="B45" s="10">
        <v>-4.8006932409012111E-2</v>
      </c>
      <c r="C45" s="10">
        <v>4.9860196516791688E-2</v>
      </c>
      <c r="D45" s="10">
        <v>4.9079619839793837E-2</v>
      </c>
    </row>
    <row r="46" spans="1:4">
      <c r="A46" s="7"/>
      <c r="B46" s="7"/>
      <c r="C46" s="7"/>
      <c r="D46" s="7"/>
    </row>
    <row r="47" spans="1:4" ht="15">
      <c r="A47" s="11" t="s">
        <v>30</v>
      </c>
      <c r="B47" s="7"/>
      <c r="C47" s="7"/>
      <c r="D47" s="7"/>
    </row>
    <row r="48" spans="1:4">
      <c r="A48" s="7" t="s">
        <v>2</v>
      </c>
      <c r="B48" s="12">
        <v>0</v>
      </c>
      <c r="C48" s="12">
        <v>-0.16322255071872771</v>
      </c>
      <c r="D48" s="12">
        <v>-0.16803830432690259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D23C-0502-4D62-86FE-C2D7E67AA8B1}">
  <dimension ref="A1:D155"/>
  <sheetViews>
    <sheetView rightToLeft="1" workbookViewId="0"/>
  </sheetViews>
  <sheetFormatPr defaultRowHeight="14.25"/>
  <cols>
    <col min="1" max="1" width="23.5" bestFit="1" customWidth="1"/>
    <col min="2" max="4" width="13.5" customWidth="1"/>
  </cols>
  <sheetData>
    <row r="1" spans="1:4" ht="15.75">
      <c r="A1" s="30" t="s">
        <v>31</v>
      </c>
      <c r="B1" s="31">
        <v>2016</v>
      </c>
      <c r="C1" s="31">
        <f>B1-1</f>
        <v>2015</v>
      </c>
      <c r="D1" s="31">
        <f>C1-1</f>
        <v>2014</v>
      </c>
    </row>
    <row r="2" spans="1:4" ht="15.75">
      <c r="A2" s="32" t="s">
        <v>35</v>
      </c>
      <c r="B2" s="33">
        <v>12100</v>
      </c>
      <c r="C2" s="33">
        <v>11769</v>
      </c>
      <c r="D2" s="33">
        <v>6092</v>
      </c>
    </row>
    <row r="3" spans="1:4" ht="15.75">
      <c r="A3" s="32" t="s">
        <v>36</v>
      </c>
      <c r="B3" s="33">
        <v>0</v>
      </c>
      <c r="C3" s="33">
        <v>0</v>
      </c>
      <c r="D3" s="33">
        <v>0</v>
      </c>
    </row>
    <row r="4" spans="1:4" ht="15.75">
      <c r="A4" s="32" t="s">
        <v>37</v>
      </c>
      <c r="B4" s="33">
        <v>12100</v>
      </c>
      <c r="C4" s="33">
        <v>11769</v>
      </c>
      <c r="D4" s="33">
        <v>6092</v>
      </c>
    </row>
    <row r="5" spans="1:4" ht="15.75">
      <c r="A5" s="32" t="s">
        <v>38</v>
      </c>
      <c r="B5" s="33">
        <v>821</v>
      </c>
      <c r="C5" s="33">
        <v>538</v>
      </c>
      <c r="D5" s="33">
        <v>0</v>
      </c>
    </row>
    <row r="6" spans="1:4" ht="15.75">
      <c r="A6" s="34" t="s">
        <v>34</v>
      </c>
      <c r="B6" s="35">
        <v>12921</v>
      </c>
      <c r="C6" s="35">
        <v>12307</v>
      </c>
      <c r="D6" s="35">
        <v>6092</v>
      </c>
    </row>
    <row r="7" spans="1:4" ht="15.75">
      <c r="A7" s="32" t="s">
        <v>40</v>
      </c>
      <c r="B7" s="33">
        <v>105746</v>
      </c>
      <c r="C7" s="33">
        <v>96312</v>
      </c>
      <c r="D7" s="33">
        <v>59332</v>
      </c>
    </row>
    <row r="8" spans="1:4" ht="15.75">
      <c r="A8" s="32" t="s">
        <v>41</v>
      </c>
      <c r="B8" s="33">
        <v>3459</v>
      </c>
      <c r="C8" s="33">
        <v>6029</v>
      </c>
      <c r="D8" s="33">
        <v>4164</v>
      </c>
    </row>
    <row r="9" spans="1:4" ht="15.75">
      <c r="A9" s="34" t="s">
        <v>39</v>
      </c>
      <c r="B9" s="35">
        <f>SUM(B7:B8)</f>
        <v>109205</v>
      </c>
      <c r="C9" s="35">
        <f>SUM(C7:C8)</f>
        <v>102341</v>
      </c>
      <c r="D9" s="35">
        <f>SUM(D7:D8)</f>
        <v>63496</v>
      </c>
    </row>
    <row r="10" spans="1:4" ht="15.75">
      <c r="A10" s="32" t="s">
        <v>43</v>
      </c>
      <c r="B10" s="33">
        <v>7510</v>
      </c>
      <c r="C10" s="33">
        <v>9581</v>
      </c>
      <c r="D10" s="33">
        <v>13163</v>
      </c>
    </row>
    <row r="11" spans="1:4" ht="15.75">
      <c r="A11" s="32" t="s">
        <v>44</v>
      </c>
      <c r="B11" s="33">
        <v>8674</v>
      </c>
      <c r="C11" s="33">
        <v>14091</v>
      </c>
      <c r="D11" s="33">
        <v>14942</v>
      </c>
    </row>
    <row r="12" spans="1:4" ht="15.75">
      <c r="A12" s="34" t="s">
        <v>42</v>
      </c>
      <c r="B12" s="35">
        <v>16184</v>
      </c>
      <c r="C12" s="35">
        <v>23672</v>
      </c>
      <c r="D12" s="35">
        <v>28105</v>
      </c>
    </row>
    <row r="13" spans="1:4" ht="15.75">
      <c r="A13" s="34" t="s">
        <v>45</v>
      </c>
      <c r="B13" s="35">
        <v>1558</v>
      </c>
      <c r="C13" s="35">
        <v>1439</v>
      </c>
      <c r="D13" s="35">
        <v>0</v>
      </c>
    </row>
    <row r="14" spans="1:4" ht="15.75">
      <c r="A14" s="36" t="s">
        <v>33</v>
      </c>
      <c r="B14" s="37">
        <v>139868</v>
      </c>
      <c r="C14" s="37">
        <v>139760</v>
      </c>
      <c r="D14" s="37">
        <v>97693</v>
      </c>
    </row>
    <row r="15" spans="1:4" ht="15.75">
      <c r="A15" s="32" t="s">
        <v>48</v>
      </c>
      <c r="B15" s="33">
        <v>29624</v>
      </c>
      <c r="C15" s="33">
        <v>31223</v>
      </c>
      <c r="D15" s="33">
        <v>26165</v>
      </c>
    </row>
    <row r="16" spans="1:4" ht="15.75">
      <c r="A16" s="32" t="s">
        <v>49</v>
      </c>
      <c r="B16" s="33">
        <v>2129</v>
      </c>
      <c r="C16" s="33">
        <v>2023</v>
      </c>
      <c r="D16" s="33">
        <v>0</v>
      </c>
    </row>
    <row r="17" spans="1:4" ht="15.75">
      <c r="A17" s="32" t="s">
        <v>50</v>
      </c>
      <c r="B17" s="33">
        <v>460</v>
      </c>
      <c r="C17" s="33">
        <v>845</v>
      </c>
      <c r="D17" s="33">
        <v>1618</v>
      </c>
    </row>
    <row r="18" spans="1:4" ht="15.75">
      <c r="A18" s="34" t="s">
        <v>47</v>
      </c>
      <c r="B18" s="35">
        <v>32213</v>
      </c>
      <c r="C18" s="35">
        <v>34092</v>
      </c>
      <c r="D18" s="35">
        <v>27783</v>
      </c>
    </row>
    <row r="19" spans="1:4" ht="15.75">
      <c r="A19" s="32" t="s">
        <v>52</v>
      </c>
      <c r="B19" s="33">
        <v>2770</v>
      </c>
      <c r="C19" s="33">
        <v>0</v>
      </c>
      <c r="D19" s="33">
        <v>0</v>
      </c>
    </row>
    <row r="20" spans="1:4" ht="15.75">
      <c r="A20" s="32" t="s">
        <v>53</v>
      </c>
      <c r="B20" s="33">
        <v>0</v>
      </c>
      <c r="C20" s="33">
        <v>0</v>
      </c>
      <c r="D20" s="33">
        <v>0</v>
      </c>
    </row>
    <row r="21" spans="1:4" ht="15.75">
      <c r="A21" s="32" t="s">
        <v>54</v>
      </c>
      <c r="B21" s="33">
        <v>0</v>
      </c>
      <c r="C21" s="33">
        <v>0</v>
      </c>
      <c r="D21" s="33">
        <v>0</v>
      </c>
    </row>
    <row r="22" spans="1:4" ht="15.75">
      <c r="A22" s="32" t="s">
        <v>51</v>
      </c>
      <c r="B22" s="33">
        <v>755</v>
      </c>
      <c r="C22" s="33">
        <v>0</v>
      </c>
      <c r="D22" s="33">
        <v>0</v>
      </c>
    </row>
    <row r="23" spans="1:4" ht="15.75">
      <c r="A23" s="34" t="s">
        <v>46</v>
      </c>
      <c r="B23" s="35">
        <v>3525</v>
      </c>
      <c r="C23" s="35">
        <v>1094</v>
      </c>
      <c r="D23" s="35">
        <v>2721</v>
      </c>
    </row>
    <row r="24" spans="1:4" ht="15.75">
      <c r="A24" s="34" t="s">
        <v>55</v>
      </c>
      <c r="B24" s="35">
        <v>48191</v>
      </c>
      <c r="C24" s="35">
        <v>61678</v>
      </c>
      <c r="D24" s="35">
        <v>7686</v>
      </c>
    </row>
    <row r="25" spans="1:4" ht="15.75">
      <c r="A25" s="36" t="s">
        <v>56</v>
      </c>
      <c r="B25" s="37">
        <f>B24+B23+B18</f>
        <v>83929</v>
      </c>
      <c r="C25" s="37">
        <f>C24+C23+C18</f>
        <v>96864</v>
      </c>
      <c r="D25" s="37">
        <f>D24+D23+D18</f>
        <v>38190</v>
      </c>
    </row>
    <row r="26" spans="1:4" ht="15.75">
      <c r="A26" s="36" t="s">
        <v>32</v>
      </c>
      <c r="B26" s="37">
        <v>223797</v>
      </c>
      <c r="C26" s="37">
        <v>236624</v>
      </c>
      <c r="D26" s="37">
        <v>135884</v>
      </c>
    </row>
    <row r="27" spans="1:4" ht="15.75">
      <c r="A27" s="32" t="s">
        <v>60</v>
      </c>
      <c r="B27" s="33">
        <v>15099</v>
      </c>
      <c r="C27" s="33">
        <v>19304</v>
      </c>
      <c r="D27" s="33">
        <v>23842</v>
      </c>
    </row>
    <row r="28" spans="1:4" ht="15.75">
      <c r="A28" s="32" t="s">
        <v>61</v>
      </c>
      <c r="B28" s="33">
        <v>7401</v>
      </c>
      <c r="C28" s="33">
        <v>7282</v>
      </c>
      <c r="D28" s="33">
        <v>6422</v>
      </c>
    </row>
    <row r="29" spans="1:4" ht="15.75">
      <c r="A29" s="34" t="s">
        <v>62</v>
      </c>
      <c r="B29" s="35">
        <v>22500</v>
      </c>
      <c r="C29" s="35">
        <v>26586</v>
      </c>
      <c r="D29" s="35">
        <v>30264</v>
      </c>
    </row>
    <row r="30" spans="1:4" ht="15.75">
      <c r="A30" s="32" t="s">
        <v>64</v>
      </c>
      <c r="B30" s="33">
        <v>55126</v>
      </c>
      <c r="C30" s="33">
        <v>42587</v>
      </c>
      <c r="D30" s="33">
        <v>46793</v>
      </c>
    </row>
    <row r="31" spans="1:4" ht="15.75">
      <c r="A31" s="32" t="s">
        <v>65</v>
      </c>
      <c r="B31" s="33">
        <v>7461</v>
      </c>
      <c r="C31" s="33">
        <v>8680</v>
      </c>
      <c r="D31" s="33">
        <v>6158</v>
      </c>
    </row>
    <row r="32" spans="1:4" ht="15.75">
      <c r="A32" s="32" t="s">
        <v>66</v>
      </c>
      <c r="B32" s="33">
        <f>SUM(B30:B31)</f>
        <v>62587</v>
      </c>
      <c r="C32" s="33">
        <f>SUM(C30:C31)</f>
        <v>51267</v>
      </c>
      <c r="D32" s="33">
        <f>SUM(D30:D31)</f>
        <v>52951</v>
      </c>
    </row>
    <row r="33" spans="1:4" ht="15.75">
      <c r="A33" s="32" t="s">
        <v>67</v>
      </c>
      <c r="B33" s="33">
        <v>0</v>
      </c>
      <c r="C33" s="33">
        <v>0</v>
      </c>
      <c r="D33" s="33">
        <v>0</v>
      </c>
    </row>
    <row r="34" spans="1:4" ht="15.75">
      <c r="A34" s="34" t="s">
        <v>66</v>
      </c>
      <c r="B34" s="35">
        <f>SUM(B30:B33)</f>
        <v>125174</v>
      </c>
      <c r="C34" s="35">
        <f>SUM(C30:C33)</f>
        <v>102534</v>
      </c>
      <c r="D34" s="35">
        <f>SUM(D30:D33)</f>
        <v>105902</v>
      </c>
    </row>
    <row r="35" spans="1:4" ht="15.75">
      <c r="A35" s="36" t="s">
        <v>58</v>
      </c>
      <c r="B35" s="37">
        <v>85087</v>
      </c>
      <c r="C35" s="37">
        <v>77853</v>
      </c>
      <c r="D35" s="37">
        <v>83215</v>
      </c>
    </row>
    <row r="36" spans="1:4" ht="15.75">
      <c r="A36" s="32" t="s">
        <v>70</v>
      </c>
      <c r="B36" s="33">
        <v>0</v>
      </c>
      <c r="C36" s="33">
        <v>0</v>
      </c>
      <c r="D36" s="33">
        <v>0</v>
      </c>
    </row>
    <row r="37" spans="1:4" ht="15.75">
      <c r="A37" s="32" t="s">
        <v>71</v>
      </c>
      <c r="B37" s="33">
        <v>61733</v>
      </c>
      <c r="C37" s="33">
        <v>69134</v>
      </c>
      <c r="D37" s="33">
        <v>22282</v>
      </c>
    </row>
    <row r="38" spans="1:4" ht="15.75">
      <c r="A38" s="32" t="s">
        <v>72</v>
      </c>
      <c r="B38" s="33">
        <v>5951</v>
      </c>
      <c r="C38" s="33">
        <v>8447</v>
      </c>
      <c r="D38" s="33">
        <v>4189</v>
      </c>
    </row>
    <row r="39" spans="1:4" ht="15.75">
      <c r="A39" s="34" t="s">
        <v>69</v>
      </c>
      <c r="B39" s="35">
        <f>SUM(B36:B38)</f>
        <v>67684</v>
      </c>
      <c r="C39" s="35">
        <f>SUM(C36:C38)</f>
        <v>77581</v>
      </c>
      <c r="D39" s="35">
        <f>SUM(D36:D38)</f>
        <v>26471</v>
      </c>
    </row>
    <row r="40" spans="1:4" ht="15.75">
      <c r="A40" s="32" t="s">
        <v>74</v>
      </c>
      <c r="B40" s="33">
        <v>0</v>
      </c>
      <c r="C40" s="33">
        <v>0</v>
      </c>
      <c r="D40" s="33">
        <v>326</v>
      </c>
    </row>
    <row r="41" spans="1:4" ht="15.75">
      <c r="A41" s="32" t="s">
        <v>75</v>
      </c>
      <c r="B41" s="33">
        <v>81</v>
      </c>
      <c r="C41" s="33">
        <v>227</v>
      </c>
      <c r="D41" s="33">
        <v>0</v>
      </c>
    </row>
    <row r="42" spans="1:4" ht="15.75">
      <c r="A42" s="32" t="s">
        <v>76</v>
      </c>
      <c r="B42" s="33">
        <v>0</v>
      </c>
      <c r="C42" s="33">
        <v>0</v>
      </c>
      <c r="D42" s="33">
        <v>0</v>
      </c>
    </row>
    <row r="43" spans="1:4" ht="15.75">
      <c r="A43" s="34" t="s">
        <v>77</v>
      </c>
      <c r="B43" s="35">
        <v>81</v>
      </c>
      <c r="C43" s="35">
        <v>227</v>
      </c>
      <c r="D43" s="35">
        <v>326</v>
      </c>
    </row>
    <row r="44" spans="1:4" ht="15.75">
      <c r="A44" s="34" t="s">
        <v>78</v>
      </c>
      <c r="B44" s="35">
        <v>1359</v>
      </c>
      <c r="C44" s="35">
        <v>2004</v>
      </c>
      <c r="D44" s="35">
        <v>2405</v>
      </c>
    </row>
    <row r="45" spans="1:4" ht="15.75">
      <c r="A45" s="36" t="s">
        <v>79</v>
      </c>
      <c r="B45" s="37">
        <v>69124</v>
      </c>
      <c r="C45" s="37">
        <v>79812</v>
      </c>
      <c r="D45" s="37">
        <v>29202</v>
      </c>
    </row>
    <row r="46" spans="1:4" ht="15.75">
      <c r="A46" s="34" t="s">
        <v>80</v>
      </c>
      <c r="B46" s="35">
        <v>0</v>
      </c>
      <c r="C46" s="35">
        <v>0</v>
      </c>
      <c r="D46" s="35">
        <v>0</v>
      </c>
    </row>
    <row r="47" spans="1:4" ht="15.75">
      <c r="A47" s="36" t="s">
        <v>81</v>
      </c>
      <c r="B47" s="37">
        <v>154211</v>
      </c>
      <c r="C47" s="37">
        <v>157666</v>
      </c>
      <c r="D47" s="37">
        <v>112417</v>
      </c>
    </row>
    <row r="48" spans="1:4" ht="15.75">
      <c r="A48" s="32" t="s">
        <v>84</v>
      </c>
      <c r="B48" s="33">
        <v>118299</v>
      </c>
      <c r="C48" s="33">
        <v>118299</v>
      </c>
      <c r="D48" s="33">
        <v>65830</v>
      </c>
    </row>
    <row r="49" spans="1:4" ht="15.75">
      <c r="A49" s="32" t="s">
        <v>85</v>
      </c>
      <c r="B49" s="33">
        <v>7199</v>
      </c>
      <c r="C49" s="33">
        <v>7153</v>
      </c>
      <c r="D49" s="33">
        <v>7283</v>
      </c>
    </row>
    <row r="50" spans="1:4" ht="15.75">
      <c r="A50" s="34" t="s">
        <v>83</v>
      </c>
      <c r="B50" s="35">
        <v>125498</v>
      </c>
      <c r="C50" s="35">
        <v>125452</v>
      </c>
      <c r="D50" s="35">
        <v>73113</v>
      </c>
    </row>
    <row r="51" spans="1:4" ht="15.75">
      <c r="A51" s="34" t="s">
        <v>86</v>
      </c>
      <c r="B51" s="35">
        <v>0</v>
      </c>
      <c r="C51" s="35">
        <v>0</v>
      </c>
      <c r="D51" s="35">
        <v>0</v>
      </c>
    </row>
    <row r="52" spans="1:4" ht="15.75">
      <c r="A52" s="34" t="s">
        <v>87</v>
      </c>
      <c r="B52" s="35">
        <v>-53774</v>
      </c>
      <c r="C52" s="35">
        <v>-44356</v>
      </c>
      <c r="D52" s="35">
        <v>-52540</v>
      </c>
    </row>
    <row r="53" spans="1:4" ht="15.75">
      <c r="A53" s="34" t="s">
        <v>88</v>
      </c>
      <c r="B53" s="35">
        <v>-2138</v>
      </c>
      <c r="C53" s="35">
        <v>-2138</v>
      </c>
      <c r="D53" s="35">
        <v>2893</v>
      </c>
    </row>
    <row r="54" spans="1:4" ht="15.75">
      <c r="A54" s="34" t="s">
        <v>89</v>
      </c>
      <c r="B54" s="35">
        <v>0</v>
      </c>
      <c r="C54" s="35">
        <v>0</v>
      </c>
      <c r="D54" s="35">
        <v>0</v>
      </c>
    </row>
    <row r="55" spans="1:4" ht="15.75">
      <c r="A55" s="36" t="s">
        <v>82</v>
      </c>
      <c r="B55" s="37">
        <v>69586</v>
      </c>
      <c r="C55" s="37">
        <v>78958</v>
      </c>
      <c r="D55" s="37">
        <v>23466</v>
      </c>
    </row>
    <row r="56" spans="1:4" ht="15.75">
      <c r="A56" s="36" t="s">
        <v>90</v>
      </c>
      <c r="B56" s="37">
        <v>223797</v>
      </c>
      <c r="C56" s="37">
        <v>236624</v>
      </c>
      <c r="D56" s="37">
        <v>135884</v>
      </c>
    </row>
    <row r="57" spans="1:4" ht="15.75">
      <c r="A57" s="30"/>
      <c r="B57" s="31"/>
      <c r="C57" s="31"/>
      <c r="D57" s="31"/>
    </row>
    <row r="59" spans="1:4" ht="15.75">
      <c r="A59" s="16" t="s">
        <v>32</v>
      </c>
    </row>
    <row r="60" spans="1:4" ht="15">
      <c r="A60" s="17" t="s">
        <v>33</v>
      </c>
    </row>
    <row r="61" spans="1:4">
      <c r="A61" s="18" t="s">
        <v>34</v>
      </c>
    </row>
    <row r="62" spans="1:4">
      <c r="A62" t="s">
        <v>35</v>
      </c>
      <c r="B62" s="21">
        <f>B2/B26</f>
        <v>5.4066855230409702E-2</v>
      </c>
      <c r="C62" s="21">
        <f>C2/C26</f>
        <v>4.9737135708972882E-2</v>
      </c>
      <c r="D62" s="21">
        <f>D2/D26</f>
        <v>4.4832357010391219E-2</v>
      </c>
    </row>
    <row r="63" spans="1:4">
      <c r="A63" t="s">
        <v>36</v>
      </c>
      <c r="B63" s="22">
        <f>B3/B26</f>
        <v>0</v>
      </c>
      <c r="C63" s="22">
        <f>C3/C26</f>
        <v>0</v>
      </c>
      <c r="D63" s="22">
        <f>D3/D26</f>
        <v>0</v>
      </c>
    </row>
    <row r="64" spans="1:4">
      <c r="A64" t="s">
        <v>37</v>
      </c>
      <c r="B64" s="21">
        <f>SUM(B62:B63)</f>
        <v>5.4066855230409702E-2</v>
      </c>
      <c r="C64" s="21">
        <f>SUM(C62:C63)</f>
        <v>4.9737135708972882E-2</v>
      </c>
      <c r="D64" s="21">
        <f>SUM(D62:D63)</f>
        <v>4.4832357010391219E-2</v>
      </c>
    </row>
    <row r="65" spans="1:4">
      <c r="A65" t="s">
        <v>38</v>
      </c>
      <c r="B65" s="22">
        <f>B5/B26</f>
        <v>3.6685031524104432E-3</v>
      </c>
      <c r="C65" s="22">
        <f>C5/C26</f>
        <v>2.2736493339644329E-3</v>
      </c>
      <c r="D65" s="22">
        <f>D5/D26</f>
        <v>0</v>
      </c>
    </row>
    <row r="66" spans="1:4">
      <c r="A66" s="18" t="s">
        <v>34</v>
      </c>
      <c r="B66" s="23">
        <f>B6/B26</f>
        <v>5.7735358382820144E-2</v>
      </c>
      <c r="C66" s="23">
        <f>C6/C26</f>
        <v>5.2010785042937317E-2</v>
      </c>
      <c r="D66" s="23">
        <f>D6/D26</f>
        <v>4.4832357010391219E-2</v>
      </c>
    </row>
    <row r="67" spans="1:4">
      <c r="A67" s="18"/>
      <c r="B67" s="20"/>
      <c r="C67" s="20"/>
      <c r="D67" s="20"/>
    </row>
    <row r="68" spans="1:4">
      <c r="A68" s="18" t="s">
        <v>39</v>
      </c>
      <c r="B68" s="19"/>
      <c r="C68" s="19"/>
      <c r="D68" s="19"/>
    </row>
    <row r="69" spans="1:4">
      <c r="A69" t="s">
        <v>40</v>
      </c>
      <c r="B69" s="21">
        <f>B7/B26</f>
        <v>0.47250856803263674</v>
      </c>
      <c r="C69" s="21">
        <f>C7/C26</f>
        <v>0.40702549191967002</v>
      </c>
      <c r="D69" s="21">
        <f>D7/D26</f>
        <v>0.43663713167113127</v>
      </c>
    </row>
    <row r="70" spans="1:4">
      <c r="A70" t="s">
        <v>41</v>
      </c>
      <c r="B70" s="21">
        <f>B8/B26</f>
        <v>1.545597125966836E-2</v>
      </c>
      <c r="C70" s="21">
        <f>C8/C26</f>
        <v>2.5479241328014064E-2</v>
      </c>
      <c r="D70" s="21">
        <f>D8/D26</f>
        <v>3.0643784404344881E-2</v>
      </c>
    </row>
    <row r="71" spans="1:4">
      <c r="A71" s="18" t="s">
        <v>39</v>
      </c>
      <c r="B71" s="23">
        <f>SUM(B69:B70)</f>
        <v>0.4879645392923051</v>
      </c>
      <c r="C71" s="23">
        <f>SUM(C69:C70)</f>
        <v>0.43250473324768407</v>
      </c>
      <c r="D71" s="23">
        <f>SUM(D69:D70)</f>
        <v>0.46728091607547617</v>
      </c>
    </row>
    <row r="72" spans="1:4">
      <c r="B72" s="19"/>
      <c r="C72" s="19"/>
      <c r="D72" s="19"/>
    </row>
    <row r="73" spans="1:4" ht="15">
      <c r="A73" s="17" t="s">
        <v>42</v>
      </c>
      <c r="B73" s="19"/>
      <c r="C73" s="19"/>
      <c r="D73" s="19"/>
    </row>
    <row r="74" spans="1:4">
      <c r="A74" t="s">
        <v>43</v>
      </c>
      <c r="B74" s="21">
        <f>B10/B26</f>
        <v>3.3557196923998091E-2</v>
      </c>
      <c r="C74" s="21">
        <f>C10/C26</f>
        <v>4.0490398268983707E-2</v>
      </c>
      <c r="D74" s="21">
        <f>D10/D26</f>
        <v>9.6869388596155542E-2</v>
      </c>
    </row>
    <row r="75" spans="1:4">
      <c r="A75" t="s">
        <v>44</v>
      </c>
      <c r="B75" s="21">
        <f>B11/B26</f>
        <v>3.8758339030460644E-2</v>
      </c>
      <c r="C75" s="21">
        <f>C11/C26</f>
        <v>5.9550172425451346E-2</v>
      </c>
      <c r="D75" s="21">
        <f>D11/D26</f>
        <v>0.10996143769685908</v>
      </c>
    </row>
    <row r="76" spans="1:4">
      <c r="A76" s="18" t="s">
        <v>42</v>
      </c>
      <c r="B76" s="23">
        <f>SUM(B74:B75)</f>
        <v>7.2315535954458735E-2</v>
      </c>
      <c r="C76" s="23">
        <f>SUM(C74:C75)</f>
        <v>0.10004057069443506</v>
      </c>
      <c r="D76" s="23">
        <f>SUM(D74:D75)</f>
        <v>0.20683082629301464</v>
      </c>
    </row>
    <row r="77" spans="1:4">
      <c r="B77" s="19"/>
      <c r="C77" s="19"/>
      <c r="D77" s="19"/>
    </row>
    <row r="78" spans="1:4">
      <c r="A78" s="18" t="s">
        <v>45</v>
      </c>
      <c r="B78" s="24">
        <f>B13/B26</f>
        <v>6.9616661528081256E-3</v>
      </c>
      <c r="C78" s="24">
        <f>C13/C26</f>
        <v>6.0813780512543108E-3</v>
      </c>
      <c r="D78" s="24">
        <f>D13/D26</f>
        <v>0</v>
      </c>
    </row>
    <row r="79" spans="1:4">
      <c r="B79" s="19"/>
      <c r="C79" s="19"/>
      <c r="D79" s="19"/>
    </row>
    <row r="80" spans="1:4" ht="15">
      <c r="A80" s="17" t="s">
        <v>33</v>
      </c>
      <c r="B80" s="25">
        <f>B78+B76+B71+B66</f>
        <v>0.62497709978239213</v>
      </c>
      <c r="C80" s="25">
        <f>C78+C76+C71+C66</f>
        <v>0.5906374670363107</v>
      </c>
      <c r="D80" s="25">
        <f>D78+D76+D71+D66</f>
        <v>0.71894409937888204</v>
      </c>
    </row>
    <row r="81" spans="1:4">
      <c r="B81" s="19"/>
      <c r="C81" s="19"/>
      <c r="D81" s="19"/>
    </row>
    <row r="82" spans="1:4" ht="15">
      <c r="A82" s="17" t="s">
        <v>46</v>
      </c>
      <c r="B82" s="19"/>
      <c r="C82" s="19"/>
      <c r="D82" s="19"/>
    </row>
    <row r="83" spans="1:4">
      <c r="A83" s="18" t="s">
        <v>47</v>
      </c>
      <c r="B83" s="19"/>
      <c r="C83" s="19"/>
      <c r="D83" s="19"/>
    </row>
    <row r="84" spans="1:4">
      <c r="A84" t="s">
        <v>48</v>
      </c>
      <c r="B84" s="21">
        <f>B15/B26</f>
        <v>0.13236996027650058</v>
      </c>
      <c r="C84" s="21">
        <f>C15/C26</f>
        <v>0.1319519575360065</v>
      </c>
      <c r="D84" s="21">
        <f>D15/D26</f>
        <v>0.19255394306908835</v>
      </c>
    </row>
    <row r="85" spans="1:4">
      <c r="A85" t="s">
        <v>49</v>
      </c>
      <c r="B85" s="21">
        <f>B16/B26</f>
        <v>9.5130855194663026E-3</v>
      </c>
      <c r="C85" s="21">
        <f>C16/C26</f>
        <v>8.5494286293867055E-3</v>
      </c>
      <c r="D85" s="21">
        <f>D16/D26</f>
        <v>0</v>
      </c>
    </row>
    <row r="86" spans="1:4">
      <c r="A86" t="s">
        <v>50</v>
      </c>
      <c r="B86" s="21">
        <f>B17/B26</f>
        <v>2.0554341657841703E-3</v>
      </c>
      <c r="C86" s="21">
        <f>C17/C26</f>
        <v>3.5710663330854012E-3</v>
      </c>
      <c r="D86" s="21">
        <f>D17/D26</f>
        <v>1.1907214977480792E-2</v>
      </c>
    </row>
    <row r="87" spans="1:4">
      <c r="A87" s="18" t="s">
        <v>47</v>
      </c>
      <c r="B87" s="23">
        <f>SUM(B84:B86)</f>
        <v>0.14393847996175105</v>
      </c>
      <c r="C87" s="23">
        <f>SUM(C84:C86)</f>
        <v>0.14407245249847861</v>
      </c>
      <c r="D87" s="23">
        <f>SUM(D84:D86)</f>
        <v>0.20446115804656914</v>
      </c>
    </row>
    <row r="88" spans="1:4">
      <c r="B88" s="19"/>
      <c r="C88" s="19"/>
      <c r="D88" s="19"/>
    </row>
    <row r="89" spans="1:4">
      <c r="A89" s="18" t="s">
        <v>51</v>
      </c>
      <c r="B89" s="19"/>
      <c r="C89" s="19"/>
      <c r="D89" s="19"/>
    </row>
    <row r="90" spans="1:4">
      <c r="A90" t="s">
        <v>52</v>
      </c>
      <c r="B90" s="21">
        <f>B19/B26</f>
        <v>1.2377288346135114E-2</v>
      </c>
      <c r="C90" s="21">
        <f>C19/C26</f>
        <v>0</v>
      </c>
      <c r="D90" s="21">
        <f>D19/D26</f>
        <v>0</v>
      </c>
    </row>
    <row r="91" spans="1:4">
      <c r="A91" t="s">
        <v>53</v>
      </c>
      <c r="B91" s="21">
        <f>B20/B26</f>
        <v>0</v>
      </c>
      <c r="C91" s="21">
        <f>C20/C26</f>
        <v>0</v>
      </c>
      <c r="D91" s="21">
        <f>D20/D26</f>
        <v>0</v>
      </c>
    </row>
    <row r="92" spans="1:4">
      <c r="A92" t="s">
        <v>54</v>
      </c>
      <c r="B92" s="21">
        <f>B21/B26</f>
        <v>0</v>
      </c>
      <c r="C92" s="21">
        <f>C21/C26</f>
        <v>0</v>
      </c>
      <c r="D92" s="21">
        <f>D21/D26</f>
        <v>0</v>
      </c>
    </row>
    <row r="93" spans="1:4">
      <c r="A93" t="s">
        <v>51</v>
      </c>
      <c r="B93" s="21">
        <f>B22/B26</f>
        <v>3.3735930329718451E-3</v>
      </c>
      <c r="C93" s="21">
        <f>C22/C26</f>
        <v>0</v>
      </c>
      <c r="D93" s="21">
        <f>D22/D26</f>
        <v>0</v>
      </c>
    </row>
    <row r="94" spans="1:4">
      <c r="A94" s="18" t="s">
        <v>46</v>
      </c>
      <c r="B94" s="23">
        <f>SUM(B90:B93)</f>
        <v>1.5750881379106959E-2</v>
      </c>
      <c r="C94" s="23">
        <f>SUM(C90:C93)</f>
        <v>0</v>
      </c>
      <c r="D94" s="23">
        <f>C23/C26</f>
        <v>4.623368719994591E-3</v>
      </c>
    </row>
    <row r="95" spans="1:4">
      <c r="B95" s="19"/>
      <c r="C95" s="19"/>
      <c r="D95" s="19"/>
    </row>
    <row r="96" spans="1:4">
      <c r="A96" s="18" t="s">
        <v>55</v>
      </c>
      <c r="B96" s="24">
        <f>B24/B26</f>
        <v>0.21533353887674991</v>
      </c>
      <c r="C96" s="24">
        <f>C24/C26</f>
        <v>0.26065825951720872</v>
      </c>
      <c r="D96" s="24">
        <f>D24/D26</f>
        <v>5.6562950752112096E-2</v>
      </c>
    </row>
    <row r="97" spans="1:4">
      <c r="B97" s="19"/>
      <c r="C97" s="19"/>
      <c r="D97" s="19"/>
    </row>
    <row r="98" spans="1:4" ht="15">
      <c r="A98" s="17" t="s">
        <v>56</v>
      </c>
      <c r="B98" s="25">
        <f>B96+B94+B87</f>
        <v>0.37502290021760792</v>
      </c>
      <c r="C98" s="25">
        <f>C96+C94+C87</f>
        <v>0.40473071201568733</v>
      </c>
      <c r="D98" s="25">
        <f>D96+D94+D87</f>
        <v>0.26564747751867585</v>
      </c>
    </row>
    <row r="99" spans="1:4">
      <c r="B99" s="19"/>
      <c r="C99" s="19"/>
      <c r="D99" s="19"/>
    </row>
    <row r="100" spans="1:4" ht="15.75">
      <c r="A100" s="16" t="s">
        <v>32</v>
      </c>
      <c r="B100" s="26">
        <f>B98+B80</f>
        <v>1</v>
      </c>
      <c r="C100" s="26">
        <f>C98+C80</f>
        <v>0.99536817905199804</v>
      </c>
      <c r="D100" s="26">
        <f>D98+D80</f>
        <v>0.98459157689755794</v>
      </c>
    </row>
    <row r="101" spans="1:4">
      <c r="B101" s="19"/>
      <c r="C101" s="19"/>
      <c r="D101" s="19"/>
    </row>
    <row r="102" spans="1:4" ht="15.75">
      <c r="A102" s="16" t="s">
        <v>57</v>
      </c>
      <c r="B102" s="19"/>
      <c r="C102" s="19"/>
      <c r="D102" s="19"/>
    </row>
    <row r="103" spans="1:4" ht="15">
      <c r="A103" s="17" t="s">
        <v>58</v>
      </c>
      <c r="B103" s="19"/>
      <c r="C103" s="19"/>
      <c r="D103" s="19"/>
    </row>
    <row r="104" spans="1:4" ht="15">
      <c r="A104" s="17" t="s">
        <v>59</v>
      </c>
      <c r="B104" s="19"/>
      <c r="C104" s="19"/>
      <c r="D104" s="19"/>
    </row>
    <row r="105" spans="1:4">
      <c r="A105" t="s">
        <v>60</v>
      </c>
      <c r="B105" s="21">
        <f>B27/B56</f>
        <v>6.7467392324293884E-2</v>
      </c>
      <c r="C105" s="21">
        <f>C27/C56</f>
        <v>8.1580904726485895E-2</v>
      </c>
      <c r="D105" s="21">
        <f>D27/D56</f>
        <v>0.1754584792911601</v>
      </c>
    </row>
    <row r="106" spans="1:4">
      <c r="A106" t="s">
        <v>61</v>
      </c>
      <c r="B106" s="21">
        <f>B28/B56</f>
        <v>3.3070148393410097E-2</v>
      </c>
      <c r="C106" s="21">
        <f>C28/C56</f>
        <v>3.0774562174589223E-2</v>
      </c>
      <c r="D106" s="21">
        <f>D28/D56</f>
        <v>4.7260899002090018E-2</v>
      </c>
    </row>
    <row r="107" spans="1:4">
      <c r="A107" s="18" t="s">
        <v>62</v>
      </c>
      <c r="B107" s="23">
        <f>SUM(B105:B106)</f>
        <v>0.10053754071770399</v>
      </c>
      <c r="C107" s="23">
        <f>SUM(C105:C106)</f>
        <v>0.11235546690107512</v>
      </c>
      <c r="D107" s="23">
        <f>SUM(D105:D106)</f>
        <v>0.22271937829325011</v>
      </c>
    </row>
    <row r="108" spans="1:4">
      <c r="B108" s="19"/>
      <c r="C108" s="19"/>
      <c r="D108" s="19"/>
    </row>
    <row r="109" spans="1:4">
      <c r="A109" s="18" t="s">
        <v>63</v>
      </c>
      <c r="B109" s="19"/>
      <c r="C109" s="19"/>
      <c r="D109" s="19"/>
    </row>
    <row r="110" spans="1:4">
      <c r="A110" t="s">
        <v>64</v>
      </c>
      <c r="B110" s="21">
        <f>B30/B56</f>
        <v>0.24632144309351778</v>
      </c>
      <c r="C110" s="21">
        <f>C30/C56</f>
        <v>0.17997751707350057</v>
      </c>
      <c r="D110" s="21">
        <f>D30/D56</f>
        <v>0.34435989520473342</v>
      </c>
    </row>
    <row r="111" spans="1:4">
      <c r="A111" t="s">
        <v>65</v>
      </c>
      <c r="B111" s="21">
        <f>B31/B56</f>
        <v>3.3338248501990644E-2</v>
      </c>
      <c r="C111" s="21">
        <f>C31/C56</f>
        <v>3.6682669551693824E-2</v>
      </c>
      <c r="D111" s="21">
        <f>D31/D56</f>
        <v>4.5318065408730977E-2</v>
      </c>
    </row>
    <row r="112" spans="1:4">
      <c r="A112" t="s">
        <v>66</v>
      </c>
      <c r="B112" s="27">
        <f>SUM(B110:B111)</f>
        <v>0.27965969159550841</v>
      </c>
      <c r="C112" s="27">
        <f>SUM(C110:C111)</f>
        <v>0.2166601866251944</v>
      </c>
      <c r="D112" s="27">
        <f>SUM(D110:D111)</f>
        <v>0.38967796061346438</v>
      </c>
    </row>
    <row r="113" spans="1:4">
      <c r="A113" t="s">
        <v>67</v>
      </c>
      <c r="B113" s="21">
        <f>B33/B56</f>
        <v>0</v>
      </c>
      <c r="C113" s="21">
        <f>C33/C56</f>
        <v>0</v>
      </c>
      <c r="D113" s="21">
        <f>D33/D56</f>
        <v>0</v>
      </c>
    </row>
    <row r="114" spans="1:4">
      <c r="A114" s="18" t="s">
        <v>66</v>
      </c>
      <c r="B114" s="23">
        <f>SUM(B112:B113)</f>
        <v>0.27965969159550841</v>
      </c>
      <c r="C114" s="23">
        <f>SUM(C112:C113)</f>
        <v>0.2166601866251944</v>
      </c>
      <c r="D114" s="23">
        <f>SUM(D112:D113)</f>
        <v>0.38967796061346438</v>
      </c>
    </row>
    <row r="115" spans="1:4">
      <c r="B115" s="19"/>
      <c r="C115" s="19"/>
      <c r="D115" s="19"/>
    </row>
    <row r="116" spans="1:4" ht="15">
      <c r="A116" s="17" t="s">
        <v>58</v>
      </c>
      <c r="B116" s="25">
        <f>B107+B114</f>
        <v>0.3801972323132124</v>
      </c>
      <c r="C116" s="25">
        <f>C107+C114</f>
        <v>0.32901565352626949</v>
      </c>
      <c r="D116" s="25">
        <f>D107+D114</f>
        <v>0.61239733890671455</v>
      </c>
    </row>
    <row r="117" spans="1:4">
      <c r="B117" s="19"/>
      <c r="C117" s="19"/>
      <c r="D117" s="19"/>
    </row>
    <row r="118" spans="1:4" ht="15">
      <c r="A118" s="17" t="s">
        <v>68</v>
      </c>
      <c r="B118" s="19"/>
      <c r="C118" s="19"/>
      <c r="D118" s="19"/>
    </row>
    <row r="119" spans="1:4">
      <c r="A119" s="18" t="s">
        <v>69</v>
      </c>
      <c r="B119" s="19"/>
      <c r="C119" s="19"/>
      <c r="D119" s="19"/>
    </row>
    <row r="120" spans="1:4">
      <c r="A120" t="s">
        <v>70</v>
      </c>
      <c r="B120" s="21">
        <f>B36/B56</f>
        <v>0</v>
      </c>
      <c r="C120" s="21">
        <f>C36/C56</f>
        <v>0</v>
      </c>
      <c r="D120" s="21">
        <f>D36/D56</f>
        <v>0</v>
      </c>
    </row>
    <row r="121" spans="1:4">
      <c r="A121" t="s">
        <v>71</v>
      </c>
      <c r="B121" s="21">
        <f>B37/B56</f>
        <v>0.2758437333833787</v>
      </c>
      <c r="C121" s="21">
        <f>C37/C56</f>
        <v>0.29216816552843328</v>
      </c>
      <c r="D121" s="21">
        <f>D37/D56</f>
        <v>0.16397809896676577</v>
      </c>
    </row>
    <row r="122" spans="1:4">
      <c r="A122" t="s">
        <v>72</v>
      </c>
      <c r="B122" s="21">
        <f>B38/B56</f>
        <v>2.6591062436046954E-2</v>
      </c>
      <c r="C122" s="21">
        <f>C38/C56</f>
        <v>3.5697984988843058E-2</v>
      </c>
      <c r="D122" s="21">
        <f>D38/D56</f>
        <v>3.0827764858261459E-2</v>
      </c>
    </row>
    <row r="123" spans="1:4">
      <c r="A123" s="18" t="s">
        <v>69</v>
      </c>
      <c r="B123" s="23">
        <f>SUM(B120:B122)</f>
        <v>0.30243479581942567</v>
      </c>
      <c r="C123" s="23">
        <f>SUM(C120:C122)</f>
        <v>0.32786615051727636</v>
      </c>
      <c r="D123" s="23">
        <f>SUM(D120:D122)</f>
        <v>0.19480586382502724</v>
      </c>
    </row>
    <row r="124" spans="1:4">
      <c r="B124" s="19"/>
      <c r="C124" s="19"/>
      <c r="D124" s="19"/>
    </row>
    <row r="125" spans="1:4">
      <c r="A125" s="18" t="s">
        <v>73</v>
      </c>
      <c r="B125" s="19"/>
      <c r="C125" s="19"/>
      <c r="D125" s="19"/>
    </row>
    <row r="126" spans="1:4">
      <c r="A126" t="s">
        <v>74</v>
      </c>
      <c r="B126" s="21">
        <f>B40/B56</f>
        <v>0</v>
      </c>
      <c r="C126" s="21">
        <f>C40/C56</f>
        <v>0</v>
      </c>
      <c r="D126" s="21">
        <f>D40/D56</f>
        <v>2.3991051190721496E-3</v>
      </c>
    </row>
    <row r="127" spans="1:4">
      <c r="A127" t="s">
        <v>75</v>
      </c>
      <c r="B127" s="21">
        <f>B41/B56</f>
        <v>3.6193514658373438E-4</v>
      </c>
      <c r="C127" s="21">
        <f>C41/C56</f>
        <v>9.5932787882885924E-4</v>
      </c>
      <c r="D127" s="21">
        <f>D41/D56</f>
        <v>0</v>
      </c>
    </row>
    <row r="128" spans="1:4">
      <c r="A128" t="s">
        <v>76</v>
      </c>
      <c r="B128" s="21">
        <f>B42/B56</f>
        <v>0</v>
      </c>
      <c r="C128" s="21">
        <f>C42/C56</f>
        <v>0</v>
      </c>
      <c r="D128" s="21">
        <f>D42/D56</f>
        <v>0</v>
      </c>
    </row>
    <row r="129" spans="1:4">
      <c r="A129" s="18" t="s">
        <v>77</v>
      </c>
      <c r="B129" s="23">
        <f>SUM(B126:B128)</f>
        <v>3.6193514658373438E-4</v>
      </c>
      <c r="C129" s="23">
        <f>SUM(C126:C128)</f>
        <v>9.5932787882885924E-4</v>
      </c>
      <c r="D129" s="23">
        <f>SUM(D126:D128)</f>
        <v>2.3991051190721496E-3</v>
      </c>
    </row>
    <row r="130" spans="1:4">
      <c r="B130" s="19"/>
      <c r="C130" s="19"/>
      <c r="D130" s="19"/>
    </row>
    <row r="131" spans="1:4">
      <c r="A131" s="18" t="s">
        <v>78</v>
      </c>
      <c r="B131" s="24">
        <f>B46/B56</f>
        <v>0</v>
      </c>
      <c r="C131" s="24">
        <f>C46/C56</f>
        <v>0</v>
      </c>
      <c r="D131" s="24">
        <f>D46/D56</f>
        <v>0</v>
      </c>
    </row>
    <row r="132" spans="1:4">
      <c r="B132" s="19"/>
      <c r="C132" s="19"/>
      <c r="D132" s="19"/>
    </row>
    <row r="133" spans="1:4" ht="15.75">
      <c r="A133" s="16" t="s">
        <v>79</v>
      </c>
      <c r="B133" s="26">
        <f>B131+B129+B123</f>
        <v>0.3027967309660094</v>
      </c>
      <c r="C133" s="26">
        <f>C131+C129+C123</f>
        <v>0.32882547839610521</v>
      </c>
      <c r="D133" s="26">
        <f>D131+D129+D123</f>
        <v>0.19720496894409939</v>
      </c>
    </row>
    <row r="134" spans="1:4">
      <c r="B134" s="19"/>
      <c r="C134" s="19"/>
      <c r="D134" s="19"/>
    </row>
    <row r="135" spans="1:4">
      <c r="A135" s="18" t="s">
        <v>80</v>
      </c>
      <c r="B135" s="20">
        <f>B46/B56</f>
        <v>0</v>
      </c>
      <c r="C135" s="20">
        <f>C46/C56</f>
        <v>0</v>
      </c>
      <c r="D135" s="20">
        <f>D46/D56</f>
        <v>0</v>
      </c>
    </row>
    <row r="136" spans="1:4">
      <c r="B136" s="19"/>
      <c r="C136" s="19"/>
      <c r="D136" s="19"/>
    </row>
    <row r="137" spans="1:4" ht="15.75">
      <c r="A137" s="16" t="s">
        <v>81</v>
      </c>
      <c r="B137" s="26">
        <f>B133+B135+B116</f>
        <v>0.68299396327922179</v>
      </c>
      <c r="C137" s="26">
        <f>C133+C135+C116</f>
        <v>0.6578411319223747</v>
      </c>
      <c r="D137" s="26">
        <f>D133+D135+D116</f>
        <v>0.80960230785081388</v>
      </c>
    </row>
    <row r="138" spans="1:4">
      <c r="B138" s="19"/>
      <c r="C138" s="19"/>
      <c r="D138" s="19"/>
    </row>
    <row r="139" spans="1:4" ht="15.75">
      <c r="A139" s="16" t="s">
        <v>82</v>
      </c>
      <c r="B139" s="19"/>
      <c r="C139" s="19"/>
      <c r="D139" s="19"/>
    </row>
    <row r="140" spans="1:4">
      <c r="A140" s="18" t="s">
        <v>83</v>
      </c>
      <c r="B140" s="19"/>
      <c r="C140" s="19"/>
      <c r="D140" s="19"/>
    </row>
    <row r="141" spans="1:4">
      <c r="A141" t="s">
        <v>84</v>
      </c>
      <c r="B141" s="21">
        <f>B48/B56</f>
        <v>0.52859957908282951</v>
      </c>
      <c r="C141" s="21">
        <f>C48/C56</f>
        <v>0.49994506051795251</v>
      </c>
      <c r="D141" s="21">
        <f>D48/D56</f>
        <v>0.48445733125312768</v>
      </c>
    </row>
    <row r="142" spans="1:4">
      <c r="A142" t="s">
        <v>85</v>
      </c>
      <c r="B142" s="21">
        <f>B49/B56</f>
        <v>3.2167544694522265E-2</v>
      </c>
      <c r="C142" s="21">
        <f>C49/C56</f>
        <v>3.0229393468118197E-2</v>
      </c>
      <c r="D142" s="21">
        <f>D49/D56</f>
        <v>5.3597185834976892E-2</v>
      </c>
    </row>
    <row r="143" spans="1:4">
      <c r="A143" s="18" t="s">
        <v>83</v>
      </c>
      <c r="B143" s="23">
        <f>SUM(B141:B142)</f>
        <v>0.56076712377735172</v>
      </c>
      <c r="C143" s="23">
        <f>SUM(C141:C142)</f>
        <v>0.53017445398607066</v>
      </c>
      <c r="D143" s="23">
        <f>SUM(D141:D142)</f>
        <v>0.53805451708810459</v>
      </c>
    </row>
    <row r="144" spans="1:4">
      <c r="B144" s="19"/>
      <c r="C144" s="19"/>
      <c r="D144" s="19"/>
    </row>
    <row r="145" spans="1:4">
      <c r="A145" s="18" t="s">
        <v>86</v>
      </c>
      <c r="B145" s="24">
        <f>B51/B56</f>
        <v>0</v>
      </c>
      <c r="C145" s="24">
        <f>C51/C56</f>
        <v>0</v>
      </c>
      <c r="D145" s="24">
        <f>D51/D56</f>
        <v>0</v>
      </c>
    </row>
    <row r="146" spans="1:4">
      <c r="B146" s="19"/>
      <c r="C146" s="19"/>
      <c r="D146" s="19"/>
    </row>
    <row r="147" spans="1:4">
      <c r="A147" s="18" t="s">
        <v>87</v>
      </c>
      <c r="B147" s="24">
        <f>B52/B56</f>
        <v>-0.24028025398016953</v>
      </c>
      <c r="C147" s="24">
        <f>C52/C56</f>
        <v>-0.18745351274595984</v>
      </c>
      <c r="D147" s="24">
        <f>D52/D56</f>
        <v>-0.38665332195107593</v>
      </c>
    </row>
    <row r="148" spans="1:4">
      <c r="A148" s="18"/>
      <c r="B148" s="20"/>
      <c r="C148" s="20"/>
      <c r="D148" s="20"/>
    </row>
    <row r="149" spans="1:4">
      <c r="A149" s="18" t="s">
        <v>88</v>
      </c>
      <c r="B149" s="24">
        <f>B53/B56</f>
        <v>-9.5533005357533833E-3</v>
      </c>
      <c r="C149" s="24">
        <f>C53/C56</f>
        <v>-9.0354317398066136E-3</v>
      </c>
      <c r="D149" s="24">
        <f>D53/D56</f>
        <v>2.1290218127226163E-2</v>
      </c>
    </row>
    <row r="150" spans="1:4">
      <c r="A150" s="18"/>
      <c r="B150" s="20"/>
      <c r="C150" s="20"/>
      <c r="D150" s="20"/>
    </row>
    <row r="151" spans="1:4">
      <c r="A151" s="18" t="s">
        <v>89</v>
      </c>
      <c r="B151" s="24">
        <f>B54/B56</f>
        <v>0</v>
      </c>
      <c r="C151" s="24">
        <f>C54/C56</f>
        <v>0</v>
      </c>
      <c r="D151" s="24">
        <f>D54/D56</f>
        <v>0</v>
      </c>
    </row>
    <row r="152" spans="1:4">
      <c r="A152" s="18"/>
      <c r="B152" s="20"/>
      <c r="C152" s="20"/>
      <c r="D152" s="20"/>
    </row>
    <row r="153" spans="1:4" ht="15.75">
      <c r="A153" s="16" t="s">
        <v>82</v>
      </c>
      <c r="B153" s="26">
        <f>SUM(B143:B151)</f>
        <v>0.31093356926142884</v>
      </c>
      <c r="C153" s="26">
        <f>SUM(C143:C151)</f>
        <v>0.33368550950030423</v>
      </c>
      <c r="D153" s="26">
        <f>SUM(D143:D151)</f>
        <v>0.17269141326425483</v>
      </c>
    </row>
    <row r="154" spans="1:4">
      <c r="B154" s="19"/>
      <c r="C154" s="19"/>
      <c r="D154" s="19"/>
    </row>
    <row r="155" spans="1:4" ht="15.75">
      <c r="A155" s="16" t="s">
        <v>90</v>
      </c>
      <c r="B155" s="26">
        <f>B153+B137</f>
        <v>0.99392753254065069</v>
      </c>
      <c r="C155" s="26">
        <f>C153+C137</f>
        <v>0.99152664142267888</v>
      </c>
      <c r="D155" s="26">
        <f>D153+D137</f>
        <v>0.98229372111506874</v>
      </c>
    </row>
  </sheetData>
  <pageMargins left="0.7" right="0.7" top="0.75" bottom="0.75" header="0.3" footer="0.3"/>
  <ignoredErrors>
    <ignoredError sqref="B9:D56 B58:D59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356D-67D3-454C-A744-F7DBC35A5E3F}">
  <dimension ref="A1:F50"/>
  <sheetViews>
    <sheetView rightToLeft="1" workbookViewId="0"/>
  </sheetViews>
  <sheetFormatPr defaultRowHeight="14.25"/>
  <cols>
    <col min="1" max="1" width="30.5" bestFit="1" customWidth="1"/>
  </cols>
  <sheetData>
    <row r="1" spans="1:6" ht="28.5">
      <c r="A1" s="38" t="s">
        <v>91</v>
      </c>
      <c r="B1" s="39">
        <f>2016</f>
        <v>2016</v>
      </c>
      <c r="C1" s="39">
        <f>B1-1</f>
        <v>2015</v>
      </c>
      <c r="D1" s="39">
        <f>C1-1</f>
        <v>2014</v>
      </c>
    </row>
    <row r="2" spans="1:6" ht="15">
      <c r="A2" s="40" t="s">
        <v>28</v>
      </c>
      <c r="B2" s="41">
        <v>-9418</v>
      </c>
      <c r="C2" s="41">
        <v>8184</v>
      </c>
      <c r="D2" s="41">
        <v>6703</v>
      </c>
    </row>
    <row r="3" spans="1:6">
      <c r="A3" s="28" t="s">
        <v>6</v>
      </c>
      <c r="B3" s="29">
        <v>11145</v>
      </c>
      <c r="C3" s="29">
        <v>7228</v>
      </c>
      <c r="D3" s="29">
        <v>4515</v>
      </c>
    </row>
    <row r="4" spans="1:6">
      <c r="A4" s="28" t="s">
        <v>92</v>
      </c>
      <c r="B4" s="29">
        <v>13319</v>
      </c>
      <c r="C4" s="29">
        <v>-5522</v>
      </c>
      <c r="D4" s="29">
        <v>150</v>
      </c>
    </row>
    <row r="5" spans="1:6">
      <c r="A5" s="42" t="s">
        <v>93</v>
      </c>
      <c r="B5" s="43">
        <f>SUM(B3:B4)</f>
        <v>24464</v>
      </c>
      <c r="C5" s="43">
        <f>SUM(C3:C4)</f>
        <v>1706</v>
      </c>
      <c r="D5" s="43">
        <f>SUM(D3:D4)</f>
        <v>4665</v>
      </c>
    </row>
    <row r="6" spans="1:6">
      <c r="A6" s="28" t="s">
        <v>94</v>
      </c>
      <c r="B6" s="29">
        <v>-7607</v>
      </c>
      <c r="C6" s="29">
        <v>-27627</v>
      </c>
      <c r="D6" s="29">
        <v>-8462</v>
      </c>
    </row>
    <row r="7" spans="1:6">
      <c r="A7" s="28" t="s">
        <v>95</v>
      </c>
      <c r="B7" s="29">
        <v>7488</v>
      </c>
      <c r="C7" s="29">
        <v>4433</v>
      </c>
      <c r="D7" s="29">
        <v>-5572</v>
      </c>
    </row>
    <row r="8" spans="1:6">
      <c r="A8" s="28" t="s">
        <v>96</v>
      </c>
      <c r="B8" s="29">
        <v>12439</v>
      </c>
      <c r="C8" s="29">
        <v>-9340</v>
      </c>
      <c r="D8" s="29">
        <v>14696</v>
      </c>
    </row>
    <row r="9" spans="1:6">
      <c r="A9" s="28" t="s">
        <v>97</v>
      </c>
      <c r="B9" s="29">
        <v>-1222</v>
      </c>
      <c r="C9" s="29">
        <v>-346</v>
      </c>
      <c r="D9" s="29">
        <v>1284</v>
      </c>
      <c r="F9" s="47">
        <v>26464</v>
      </c>
    </row>
    <row r="10" spans="1:6">
      <c r="A10" s="42" t="s">
        <v>98</v>
      </c>
      <c r="B10" s="43">
        <f>SUM(B6:B9)</f>
        <v>11098</v>
      </c>
      <c r="C10" s="43">
        <f>SUM(C6:C9)</f>
        <v>-32880</v>
      </c>
      <c r="D10" s="43">
        <f>SUM(D6:D9)</f>
        <v>1946</v>
      </c>
      <c r="F10" s="48">
        <v>196180</v>
      </c>
    </row>
    <row r="11" spans="1:6">
      <c r="A11" s="42" t="s">
        <v>99</v>
      </c>
      <c r="B11" s="43">
        <v>0</v>
      </c>
      <c r="C11" s="43">
        <v>0</v>
      </c>
      <c r="D11" s="43">
        <v>0</v>
      </c>
      <c r="F11">
        <f>F9/F10</f>
        <v>0.13489652360077481</v>
      </c>
    </row>
    <row r="12" spans="1:6" ht="15">
      <c r="A12" s="40" t="s">
        <v>100</v>
      </c>
      <c r="B12" s="43">
        <f>B5+B10+B11</f>
        <v>35562</v>
      </c>
      <c r="C12" s="43">
        <f>C5+C10+C11</f>
        <v>-31174</v>
      </c>
      <c r="D12" s="43">
        <f>D5+D10+D11</f>
        <v>6611</v>
      </c>
    </row>
    <row r="13" spans="1:6" ht="15">
      <c r="A13" s="44" t="s">
        <v>101</v>
      </c>
      <c r="B13" s="41">
        <f>B12+B2</f>
        <v>26144</v>
      </c>
      <c r="C13" s="41">
        <f>C12+C2</f>
        <v>-22990</v>
      </c>
      <c r="D13" s="41">
        <f>D12+D2</f>
        <v>13314</v>
      </c>
    </row>
    <row r="14" spans="1:6">
      <c r="A14" s="28" t="s">
        <v>102</v>
      </c>
      <c r="B14" s="29">
        <v>0</v>
      </c>
      <c r="C14" s="29">
        <v>0</v>
      </c>
      <c r="D14" s="29">
        <v>0</v>
      </c>
    </row>
    <row r="15" spans="1:6">
      <c r="A15" s="28" t="s">
        <v>103</v>
      </c>
      <c r="B15" s="29">
        <v>0</v>
      </c>
      <c r="C15" s="29">
        <v>0</v>
      </c>
      <c r="D15" s="29">
        <v>0</v>
      </c>
    </row>
    <row r="16" spans="1:6">
      <c r="A16" s="42" t="s">
        <v>104</v>
      </c>
      <c r="B16" s="43">
        <f>SUM(B14:B15)</f>
        <v>0</v>
      </c>
      <c r="C16" s="43">
        <f>SUM(C14:C15)</f>
        <v>0</v>
      </c>
      <c r="D16" s="43">
        <f>SUM(D14:D15)</f>
        <v>0</v>
      </c>
    </row>
    <row r="17" spans="1:4">
      <c r="A17" s="28" t="s">
        <v>105</v>
      </c>
      <c r="B17" s="29">
        <v>-283</v>
      </c>
      <c r="C17" s="29">
        <v>0</v>
      </c>
      <c r="D17" s="29">
        <v>0</v>
      </c>
    </row>
    <row r="18" spans="1:4">
      <c r="A18" s="28" t="s">
        <v>106</v>
      </c>
      <c r="B18" s="29">
        <v>0</v>
      </c>
      <c r="C18" s="29">
        <v>112</v>
      </c>
      <c r="D18" s="29">
        <v>0</v>
      </c>
    </row>
    <row r="19" spans="1:4">
      <c r="A19" s="42" t="s">
        <v>107</v>
      </c>
      <c r="B19" s="43">
        <f>SUM(B17:B18)</f>
        <v>-283</v>
      </c>
      <c r="C19" s="43">
        <f>SUM(C17:C18)</f>
        <v>112</v>
      </c>
      <c r="D19" s="43">
        <f>SUM(D17:D18)</f>
        <v>0</v>
      </c>
    </row>
    <row r="20" spans="1:4">
      <c r="A20" s="28" t="s">
        <v>108</v>
      </c>
      <c r="B20" s="29">
        <v>-286</v>
      </c>
      <c r="C20" s="29">
        <v>0</v>
      </c>
      <c r="D20" s="29">
        <v>0</v>
      </c>
    </row>
    <row r="21" spans="1:4">
      <c r="A21" s="28" t="s">
        <v>109</v>
      </c>
      <c r="B21" s="29">
        <v>0</v>
      </c>
      <c r="C21" s="29">
        <v>0</v>
      </c>
      <c r="D21" s="29">
        <v>0</v>
      </c>
    </row>
    <row r="22" spans="1:4">
      <c r="A22" s="42" t="s">
        <v>110</v>
      </c>
      <c r="B22" s="43">
        <f>SUM(B20:B21)</f>
        <v>-286</v>
      </c>
      <c r="C22" s="43">
        <f>SUM(C20:C21)</f>
        <v>0</v>
      </c>
      <c r="D22" s="43">
        <f>SUM(D20:D21)</f>
        <v>0</v>
      </c>
    </row>
    <row r="23" spans="1:4" ht="15">
      <c r="A23" s="40" t="s">
        <v>111</v>
      </c>
      <c r="B23" s="41">
        <f>B22+B19+B16</f>
        <v>-569</v>
      </c>
      <c r="C23" s="41">
        <f>C22+C19+C16</f>
        <v>112</v>
      </c>
      <c r="D23" s="41">
        <f>D22+D19+D16</f>
        <v>0</v>
      </c>
    </row>
    <row r="24" spans="1:4">
      <c r="A24" s="28" t="s">
        <v>112</v>
      </c>
      <c r="B24" s="29">
        <v>-5501</v>
      </c>
      <c r="C24" s="29">
        <v>-5377</v>
      </c>
      <c r="D24" s="29">
        <v>-6425</v>
      </c>
    </row>
    <row r="25" spans="1:4">
      <c r="A25" s="28" t="s">
        <v>113</v>
      </c>
      <c r="B25" s="29">
        <v>447</v>
      </c>
      <c r="C25" s="29">
        <v>10</v>
      </c>
      <c r="D25" s="29">
        <v>7</v>
      </c>
    </row>
    <row r="26" spans="1:4">
      <c r="A26" s="42" t="s">
        <v>114</v>
      </c>
      <c r="B26" s="43">
        <f>SUM(B24:B25)</f>
        <v>-5054</v>
      </c>
      <c r="C26" s="43">
        <f>SUM(C24:C25)</f>
        <v>-5367</v>
      </c>
      <c r="D26" s="43">
        <f>SUM(D24:D25)</f>
        <v>-6418</v>
      </c>
    </row>
    <row r="27" spans="1:4">
      <c r="A27" s="28" t="s">
        <v>115</v>
      </c>
      <c r="B27" s="29">
        <v>0</v>
      </c>
      <c r="C27" s="29">
        <v>-4347</v>
      </c>
      <c r="D27" s="29">
        <v>0</v>
      </c>
    </row>
    <row r="28" spans="1:4">
      <c r="A28" s="28" t="s">
        <v>116</v>
      </c>
      <c r="B28" s="29">
        <v>0</v>
      </c>
      <c r="C28" s="29">
        <v>0</v>
      </c>
      <c r="D28" s="29">
        <v>0</v>
      </c>
    </row>
    <row r="29" spans="1:4">
      <c r="A29" s="42" t="s">
        <v>117</v>
      </c>
      <c r="B29" s="43">
        <f>SUM(B27:B28)</f>
        <v>0</v>
      </c>
      <c r="C29" s="43">
        <f>SUM(C27:C28)</f>
        <v>-4347</v>
      </c>
      <c r="D29" s="43">
        <f>SUM(D27:D28)</f>
        <v>0</v>
      </c>
    </row>
    <row r="30" spans="1:4" ht="15">
      <c r="A30" s="40" t="s">
        <v>118</v>
      </c>
      <c r="B30" s="41">
        <f>B29+B26</f>
        <v>-5054</v>
      </c>
      <c r="C30" s="41"/>
      <c r="D30" s="41"/>
    </row>
    <row r="31" spans="1:4" ht="15">
      <c r="A31" s="40" t="s">
        <v>119</v>
      </c>
      <c r="B31" s="41">
        <v>0</v>
      </c>
      <c r="C31" s="41">
        <v>0</v>
      </c>
      <c r="D31" s="41">
        <v>-8</v>
      </c>
    </row>
    <row r="32" spans="1:4" ht="15">
      <c r="A32" s="44" t="s">
        <v>120</v>
      </c>
      <c r="B32" s="41">
        <f>B31+B29+B26+B23</f>
        <v>-5623</v>
      </c>
      <c r="C32" s="41">
        <f>C31+C29+C26+C23</f>
        <v>-9602</v>
      </c>
      <c r="D32" s="41">
        <f>D31+D29+D26+D23</f>
        <v>-6426</v>
      </c>
    </row>
    <row r="33" spans="1:4" ht="15">
      <c r="A33" s="42" t="s">
        <v>121</v>
      </c>
      <c r="B33" s="43">
        <v>0</v>
      </c>
      <c r="C33" s="41">
        <v>0</v>
      </c>
      <c r="D33" s="41">
        <v>0</v>
      </c>
    </row>
    <row r="34" spans="1:4">
      <c r="A34" s="28" t="s">
        <v>122</v>
      </c>
      <c r="B34" s="29">
        <v>0</v>
      </c>
      <c r="C34" s="29">
        <v>77333</v>
      </c>
      <c r="D34" s="29">
        <v>5496</v>
      </c>
    </row>
    <row r="35" spans="1:4">
      <c r="A35" s="28" t="s">
        <v>123</v>
      </c>
      <c r="B35" s="29">
        <v>-7800</v>
      </c>
      <c r="C35" s="29">
        <v>-30828</v>
      </c>
      <c r="D35" s="29">
        <v>-7218</v>
      </c>
    </row>
    <row r="36" spans="1:4">
      <c r="A36" s="42" t="s">
        <v>124</v>
      </c>
      <c r="B36" s="43">
        <f>SUM(B34:B35)</f>
        <v>-7800</v>
      </c>
      <c r="C36" s="43">
        <f>SUM(C34:C35)</f>
        <v>46505</v>
      </c>
      <c r="D36" s="43">
        <f>SUM(D34:D35)</f>
        <v>-1722</v>
      </c>
    </row>
    <row r="37" spans="1:4" ht="15">
      <c r="A37" s="40" t="s">
        <v>125</v>
      </c>
      <c r="B37" s="41">
        <f>B36+B33</f>
        <v>-7800</v>
      </c>
      <c r="C37" s="41">
        <f>C36+C33</f>
        <v>46505</v>
      </c>
      <c r="D37" s="41">
        <f>D36+D33</f>
        <v>-1722</v>
      </c>
    </row>
    <row r="38" spans="1:4">
      <c r="A38" s="28" t="s">
        <v>127</v>
      </c>
      <c r="B38" s="29">
        <v>0</v>
      </c>
      <c r="C38" s="29">
        <v>7900</v>
      </c>
      <c r="D38" s="29">
        <v>4900</v>
      </c>
    </row>
    <row r="39" spans="1:4">
      <c r="A39" s="28" t="s">
        <v>128</v>
      </c>
      <c r="B39" s="29">
        <v>-3996</v>
      </c>
      <c r="C39" s="29">
        <v>-6471</v>
      </c>
      <c r="D39" s="29">
        <v>-3793</v>
      </c>
    </row>
    <row r="40" spans="1:4">
      <c r="A40" s="42" t="s">
        <v>129</v>
      </c>
      <c r="B40" s="43">
        <f>SUM(B38:B39)</f>
        <v>-3996</v>
      </c>
      <c r="C40" s="43">
        <f>SUM(C38:C39)</f>
        <v>1429</v>
      </c>
      <c r="D40" s="43">
        <f>SUM(D38:D39)</f>
        <v>1107</v>
      </c>
    </row>
    <row r="41" spans="1:4">
      <c r="A41" s="28" t="s">
        <v>130</v>
      </c>
      <c r="B41" s="29">
        <v>0</v>
      </c>
      <c r="C41" s="29">
        <v>0</v>
      </c>
      <c r="D41" s="29">
        <v>1800</v>
      </c>
    </row>
    <row r="42" spans="1:4">
      <c r="A42" s="28" t="s">
        <v>131</v>
      </c>
      <c r="B42" s="29">
        <v>-3284</v>
      </c>
      <c r="C42" s="29">
        <v>-6243</v>
      </c>
      <c r="D42" s="29">
        <v>-1374</v>
      </c>
    </row>
    <row r="43" spans="1:4" ht="15">
      <c r="A43" s="40" t="s">
        <v>132</v>
      </c>
      <c r="B43" s="43">
        <f>SUM(B41:B42)</f>
        <v>-3284</v>
      </c>
      <c r="C43" s="43">
        <f>SUM(C41:C42)</f>
        <v>-6243</v>
      </c>
      <c r="D43" s="43">
        <f>SUM(D41:D42)</f>
        <v>426</v>
      </c>
    </row>
    <row r="44" spans="1:4" ht="15">
      <c r="A44" s="44" t="s">
        <v>126</v>
      </c>
      <c r="B44" s="41">
        <f>B43+B40</f>
        <v>-7280</v>
      </c>
      <c r="C44" s="41">
        <f>C43+C40</f>
        <v>-4814</v>
      </c>
      <c r="D44" s="41">
        <f>D43+D40</f>
        <v>1533</v>
      </c>
    </row>
    <row r="45" spans="1:4" ht="15">
      <c r="A45" s="40" t="s">
        <v>133</v>
      </c>
      <c r="B45" s="41">
        <v>-5110</v>
      </c>
      <c r="C45" s="41">
        <v>-3422</v>
      </c>
      <c r="D45" s="41">
        <v>-4044</v>
      </c>
    </row>
    <row r="46" spans="1:4" ht="15">
      <c r="A46" s="44" t="s">
        <v>146</v>
      </c>
      <c r="B46" s="41">
        <f>B33+B36+B40+B43+B45</f>
        <v>-20190</v>
      </c>
      <c r="C46" s="41">
        <f>C33+C36+C40+C43+C45</f>
        <v>38269</v>
      </c>
      <c r="D46" s="41">
        <f>D33+D36+D40+D43+D45</f>
        <v>-4233</v>
      </c>
    </row>
    <row r="47" spans="1:4" ht="15">
      <c r="A47" s="40" t="s">
        <v>134</v>
      </c>
      <c r="B47" s="41">
        <v>0</v>
      </c>
      <c r="C47" s="41">
        <v>0</v>
      </c>
      <c r="D47" s="41">
        <v>0</v>
      </c>
    </row>
    <row r="48" spans="1:4" ht="15.75">
      <c r="A48" s="45" t="s">
        <v>135</v>
      </c>
      <c r="B48" s="46">
        <f>B47+B46+B32+B13</f>
        <v>331</v>
      </c>
      <c r="C48" s="46">
        <f>C47+C46+C32+C13</f>
        <v>5677</v>
      </c>
      <c r="D48" s="46">
        <f>D47+D46+D32+D13</f>
        <v>2655</v>
      </c>
    </row>
    <row r="49" spans="1:4" ht="15.75">
      <c r="A49" s="45" t="s">
        <v>136</v>
      </c>
      <c r="B49" s="46">
        <v>11769</v>
      </c>
      <c r="C49" s="46">
        <v>6092</v>
      </c>
      <c r="D49" s="46">
        <v>3437</v>
      </c>
    </row>
    <row r="50" spans="1:4" ht="15.75">
      <c r="A50" s="45" t="s">
        <v>137</v>
      </c>
      <c r="B50" s="46">
        <f>B48+B49</f>
        <v>12100</v>
      </c>
      <c r="C50" s="46">
        <f>C48+C49</f>
        <v>11769</v>
      </c>
      <c r="D50" s="46">
        <f>D48+D49</f>
        <v>6092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C52C-7453-48BB-AD4E-C370033CD2F0}">
  <dimension ref="A1:Z31"/>
  <sheetViews>
    <sheetView rightToLeft="1" topLeftCell="A7" workbookViewId="0">
      <selection activeCell="C27" sqref="C27"/>
    </sheetView>
  </sheetViews>
  <sheetFormatPr defaultRowHeight="14.25"/>
  <cols>
    <col min="3" max="26" width="9.875" bestFit="1" customWidth="1"/>
  </cols>
  <sheetData>
    <row r="1" spans="1:26">
      <c r="A1" s="13" t="s">
        <v>31</v>
      </c>
      <c r="B1" s="14"/>
      <c r="C1" s="15">
        <v>2016</v>
      </c>
      <c r="D1" s="15">
        <f t="shared" ref="D1:Z1" si="0">C1-1</f>
        <v>2015</v>
      </c>
      <c r="E1" s="15">
        <f t="shared" si="0"/>
        <v>2014</v>
      </c>
      <c r="F1" s="15">
        <f t="shared" si="0"/>
        <v>2013</v>
      </c>
      <c r="G1" s="15">
        <f t="shared" si="0"/>
        <v>2012</v>
      </c>
      <c r="H1" s="15">
        <f t="shared" si="0"/>
        <v>2011</v>
      </c>
      <c r="I1" s="15">
        <f t="shared" si="0"/>
        <v>2010</v>
      </c>
      <c r="J1" s="15">
        <f t="shared" si="0"/>
        <v>2009</v>
      </c>
      <c r="K1" s="15">
        <f t="shared" si="0"/>
        <v>2008</v>
      </c>
      <c r="L1" s="15">
        <f t="shared" si="0"/>
        <v>2007</v>
      </c>
      <c r="M1" s="15">
        <f t="shared" si="0"/>
        <v>2006</v>
      </c>
      <c r="N1" s="15">
        <f t="shared" si="0"/>
        <v>2005</v>
      </c>
      <c r="O1" s="15">
        <f t="shared" si="0"/>
        <v>2004</v>
      </c>
      <c r="P1" s="15">
        <f t="shared" si="0"/>
        <v>2003</v>
      </c>
      <c r="Q1" s="15">
        <f t="shared" si="0"/>
        <v>2002</v>
      </c>
      <c r="R1" s="15">
        <f t="shared" si="0"/>
        <v>2001</v>
      </c>
      <c r="S1" s="15">
        <f t="shared" si="0"/>
        <v>2000</v>
      </c>
      <c r="T1" s="15">
        <f t="shared" si="0"/>
        <v>1999</v>
      </c>
      <c r="U1" s="15">
        <f t="shared" si="0"/>
        <v>1998</v>
      </c>
      <c r="V1" s="15">
        <f t="shared" si="0"/>
        <v>1997</v>
      </c>
      <c r="W1" s="15">
        <f t="shared" si="0"/>
        <v>1996</v>
      </c>
      <c r="X1" s="15">
        <f t="shared" si="0"/>
        <v>1995</v>
      </c>
      <c r="Y1" s="15">
        <f t="shared" si="0"/>
        <v>1994</v>
      </c>
      <c r="Z1" s="15">
        <f t="shared" si="0"/>
        <v>1993</v>
      </c>
    </row>
    <row r="2" spans="1:26">
      <c r="A2" t="s">
        <v>16</v>
      </c>
      <c r="C2" s="48">
        <v>5419</v>
      </c>
      <c r="D2" s="48">
        <v>5308</v>
      </c>
      <c r="E2" s="48">
        <v>6801</v>
      </c>
      <c r="F2" s="48">
        <v>7669</v>
      </c>
      <c r="G2" s="48">
        <v>9084</v>
      </c>
      <c r="H2" s="48">
        <v>746</v>
      </c>
      <c r="I2" s="48">
        <v>-89</v>
      </c>
      <c r="J2" s="48">
        <v>-10806</v>
      </c>
      <c r="K2" s="48">
        <v>-13045</v>
      </c>
      <c r="L2" s="48">
        <v>4294</v>
      </c>
      <c r="M2" s="48">
        <v>6129</v>
      </c>
      <c r="N2" s="48">
        <v>3668</v>
      </c>
      <c r="O2" s="48">
        <v>11067</v>
      </c>
      <c r="P2" s="48">
        <v>6051</v>
      </c>
      <c r="Q2" s="48">
        <v>5603</v>
      </c>
      <c r="R2" s="48">
        <v>8679</v>
      </c>
      <c r="S2" s="48">
        <v>9950</v>
      </c>
      <c r="T2" s="48">
        <v>11304</v>
      </c>
      <c r="U2" s="48">
        <v>7186</v>
      </c>
      <c r="V2" s="48">
        <v>13459</v>
      </c>
      <c r="W2" s="48">
        <v>12701</v>
      </c>
      <c r="X2" s="48">
        <v>13343</v>
      </c>
      <c r="Y2" s="48">
        <v>-3413</v>
      </c>
      <c r="Z2" s="48">
        <v>6052</v>
      </c>
    </row>
    <row r="3" spans="1:26">
      <c r="A3" t="s">
        <v>6</v>
      </c>
      <c r="C3" s="19">
        <v>11145</v>
      </c>
      <c r="D3" s="19">
        <v>7228</v>
      </c>
      <c r="E3" s="19">
        <v>4515</v>
      </c>
      <c r="F3" s="19">
        <v>4263</v>
      </c>
      <c r="G3" s="19">
        <v>4372</v>
      </c>
      <c r="H3" s="19">
        <v>4751</v>
      </c>
      <c r="I3" s="19">
        <v>4787</v>
      </c>
      <c r="J3" s="19">
        <v>5670</v>
      </c>
      <c r="K3" s="19">
        <v>8782</v>
      </c>
      <c r="L3" s="19">
        <v>7626</v>
      </c>
      <c r="M3" s="19">
        <v>4533</v>
      </c>
      <c r="N3" s="19">
        <v>4940</v>
      </c>
      <c r="O3" s="19">
        <v>4968</v>
      </c>
      <c r="P3" s="19">
        <v>3707</v>
      </c>
      <c r="Q3" s="19">
        <v>3723</v>
      </c>
      <c r="R3" s="19">
        <v>4711</v>
      </c>
      <c r="S3" s="19">
        <v>4455</v>
      </c>
      <c r="T3" s="19">
        <v>4272</v>
      </c>
      <c r="U3" s="19">
        <v>3910</v>
      </c>
      <c r="V3" s="19">
        <v>3384</v>
      </c>
      <c r="W3" s="19">
        <v>3198</v>
      </c>
      <c r="X3" s="19">
        <v>2141</v>
      </c>
      <c r="Y3" s="19">
        <v>2009</v>
      </c>
      <c r="Z3" s="19" t="s">
        <v>138</v>
      </c>
    </row>
    <row r="4" spans="1:26">
      <c r="A4" t="s">
        <v>147</v>
      </c>
      <c r="B4" t="s">
        <v>147</v>
      </c>
      <c r="C4" s="48">
        <f>C2+C3</f>
        <v>16564</v>
      </c>
      <c r="D4" s="48">
        <f t="shared" ref="D4:V4" si="1">D2+D3</f>
        <v>12536</v>
      </c>
      <c r="E4" s="48">
        <f t="shared" si="1"/>
        <v>11316</v>
      </c>
      <c r="F4" s="48">
        <f t="shared" si="1"/>
        <v>11932</v>
      </c>
      <c r="G4" s="48">
        <f t="shared" si="1"/>
        <v>13456</v>
      </c>
      <c r="H4" s="48">
        <f t="shared" si="1"/>
        <v>5497</v>
      </c>
      <c r="I4" s="48">
        <f t="shared" si="1"/>
        <v>4698</v>
      </c>
      <c r="J4" s="48">
        <f t="shared" si="1"/>
        <v>-5136</v>
      </c>
      <c r="K4" s="48">
        <f t="shared" si="1"/>
        <v>-4263</v>
      </c>
      <c r="L4" s="48">
        <f t="shared" si="1"/>
        <v>11920</v>
      </c>
      <c r="M4" s="48">
        <f t="shared" si="1"/>
        <v>10662</v>
      </c>
      <c r="N4" s="48">
        <f t="shared" si="1"/>
        <v>8608</v>
      </c>
      <c r="O4" s="48">
        <f t="shared" si="1"/>
        <v>16035</v>
      </c>
      <c r="P4" s="48">
        <f t="shared" si="1"/>
        <v>9758</v>
      </c>
      <c r="Q4" s="48">
        <f t="shared" si="1"/>
        <v>9326</v>
      </c>
      <c r="R4" s="48">
        <f t="shared" si="1"/>
        <v>13390</v>
      </c>
      <c r="S4" s="48">
        <f t="shared" si="1"/>
        <v>14405</v>
      </c>
      <c r="T4" s="48">
        <f t="shared" si="1"/>
        <v>15576</v>
      </c>
      <c r="U4" s="48">
        <f t="shared" si="1"/>
        <v>11096</v>
      </c>
      <c r="V4" s="48">
        <f t="shared" si="1"/>
        <v>16843</v>
      </c>
      <c r="W4" s="48">
        <f>W2+W3</f>
        <v>15899</v>
      </c>
      <c r="X4" s="48">
        <f>X2+X3</f>
        <v>15484</v>
      </c>
      <c r="Y4" s="48">
        <f>Y2+Y3</f>
        <v>-1404</v>
      </c>
      <c r="Z4" s="48" t="e">
        <f>Z2+Z3</f>
        <v>#VALUE!</v>
      </c>
    </row>
    <row r="5" spans="1:26">
      <c r="C5" s="49">
        <v>42735</v>
      </c>
      <c r="D5" s="49">
        <v>42369</v>
      </c>
      <c r="E5" s="49">
        <v>42004</v>
      </c>
      <c r="F5" s="49">
        <v>41639</v>
      </c>
      <c r="G5" s="49">
        <v>41274</v>
      </c>
      <c r="H5" s="49">
        <v>40908</v>
      </c>
      <c r="I5" s="49">
        <v>40543</v>
      </c>
      <c r="J5" s="49">
        <v>40178</v>
      </c>
      <c r="K5" s="49">
        <v>39813</v>
      </c>
      <c r="L5" s="49">
        <v>39447</v>
      </c>
      <c r="M5" s="49">
        <v>39082</v>
      </c>
      <c r="N5" s="49">
        <v>38717</v>
      </c>
      <c r="O5" s="49">
        <v>38352</v>
      </c>
      <c r="P5" s="49">
        <v>37986</v>
      </c>
      <c r="Q5" s="49">
        <v>37621</v>
      </c>
      <c r="R5" s="49">
        <v>37256</v>
      </c>
      <c r="S5" s="49">
        <v>36891</v>
      </c>
      <c r="T5" s="49">
        <v>36525</v>
      </c>
      <c r="U5" s="49">
        <v>36160</v>
      </c>
      <c r="V5" s="49">
        <v>35795</v>
      </c>
      <c r="W5" s="49">
        <v>35430</v>
      </c>
      <c r="X5" s="49">
        <v>35064</v>
      </c>
      <c r="Y5" s="49">
        <v>34699</v>
      </c>
      <c r="Z5" s="49">
        <v>34334</v>
      </c>
    </row>
    <row r="8" spans="1:26">
      <c r="C8">
        <v>16564</v>
      </c>
      <c r="D8">
        <v>2016</v>
      </c>
    </row>
    <row r="9" spans="1:26">
      <c r="C9">
        <v>12536</v>
      </c>
      <c r="D9">
        <v>2015</v>
      </c>
    </row>
    <row r="10" spans="1:26">
      <c r="C10">
        <v>11316</v>
      </c>
      <c r="D10">
        <v>2014</v>
      </c>
    </row>
    <row r="11" spans="1:26">
      <c r="C11">
        <v>11932</v>
      </c>
      <c r="D11">
        <v>2013</v>
      </c>
    </row>
    <row r="12" spans="1:26">
      <c r="C12">
        <v>13456</v>
      </c>
      <c r="D12">
        <v>2012</v>
      </c>
    </row>
    <row r="13" spans="1:26">
      <c r="C13">
        <v>5497</v>
      </c>
      <c r="D13">
        <v>2011</v>
      </c>
    </row>
    <row r="14" spans="1:26">
      <c r="C14">
        <v>4698</v>
      </c>
      <c r="D14">
        <v>2010</v>
      </c>
    </row>
    <row r="15" spans="1:26">
      <c r="C15">
        <v>-5136</v>
      </c>
      <c r="D15">
        <v>2009</v>
      </c>
    </row>
    <row r="16" spans="1:26">
      <c r="C16">
        <v>-4263</v>
      </c>
      <c r="D16">
        <v>2008</v>
      </c>
    </row>
    <row r="17" spans="3:4">
      <c r="C17">
        <v>11920</v>
      </c>
      <c r="D17">
        <v>2007</v>
      </c>
    </row>
    <row r="18" spans="3:4">
      <c r="C18">
        <v>10662</v>
      </c>
      <c r="D18">
        <v>2006</v>
      </c>
    </row>
    <row r="19" spans="3:4">
      <c r="C19">
        <v>8608</v>
      </c>
      <c r="D19">
        <v>2005</v>
      </c>
    </row>
    <row r="20" spans="3:4">
      <c r="C20">
        <v>16035</v>
      </c>
      <c r="D20">
        <v>2004</v>
      </c>
    </row>
    <row r="21" spans="3:4">
      <c r="C21">
        <v>9758</v>
      </c>
      <c r="D21">
        <v>2003</v>
      </c>
    </row>
    <row r="22" spans="3:4">
      <c r="C22">
        <v>9326</v>
      </c>
      <c r="D22">
        <v>2002</v>
      </c>
    </row>
    <row r="23" spans="3:4">
      <c r="C23">
        <v>13390</v>
      </c>
      <c r="D23">
        <v>2001</v>
      </c>
    </row>
    <row r="24" spans="3:4">
      <c r="C24">
        <v>14405</v>
      </c>
      <c r="D24">
        <v>2000</v>
      </c>
    </row>
    <row r="25" spans="3:4">
      <c r="C25">
        <v>15576</v>
      </c>
      <c r="D25">
        <v>1999</v>
      </c>
    </row>
    <row r="26" spans="3:4">
      <c r="C26">
        <v>11096</v>
      </c>
      <c r="D26">
        <v>1998</v>
      </c>
    </row>
    <row r="27" spans="3:4">
      <c r="C27">
        <v>16843</v>
      </c>
      <c r="D27">
        <v>1997</v>
      </c>
    </row>
    <row r="28" spans="3:4">
      <c r="C28">
        <v>15899</v>
      </c>
      <c r="D28">
        <v>1996</v>
      </c>
    </row>
    <row r="29" spans="3:4">
      <c r="C29">
        <v>15484</v>
      </c>
      <c r="D29">
        <v>1995</v>
      </c>
    </row>
    <row r="30" spans="3:4">
      <c r="C30">
        <v>-1404</v>
      </c>
      <c r="D30">
        <v>1994</v>
      </c>
    </row>
    <row r="31" spans="3:4">
      <c r="C31" t="e">
        <v>#VALUE!</v>
      </c>
      <c r="D31">
        <v>1993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DF2E-2B2F-4081-9646-D12602DC56FC}">
  <dimension ref="A2:B10"/>
  <sheetViews>
    <sheetView rightToLeft="1" workbookViewId="0">
      <selection activeCell="A3" sqref="A3"/>
    </sheetView>
  </sheetViews>
  <sheetFormatPr defaultRowHeight="14.25"/>
  <cols>
    <col min="1" max="1" width="27.25" bestFit="1" customWidth="1"/>
    <col min="2" max="2" width="17.625" bestFit="1" customWidth="1"/>
  </cols>
  <sheetData>
    <row r="2" spans="1:2" ht="15.75">
      <c r="A2" s="232"/>
    </row>
    <row r="3" spans="1:2">
      <c r="A3" s="233" t="s">
        <v>223</v>
      </c>
    </row>
    <row r="4" spans="1:2">
      <c r="A4" s="233" t="s">
        <v>226</v>
      </c>
    </row>
    <row r="5" spans="1:2">
      <c r="A5" s="233" t="s">
        <v>228</v>
      </c>
    </row>
    <row r="6" spans="1:2" ht="15.75">
      <c r="A6" s="235" t="s">
        <v>224</v>
      </c>
      <c r="B6" s="235" t="s">
        <v>225</v>
      </c>
    </row>
    <row r="7" spans="1:2" ht="15.75">
      <c r="A7" s="234">
        <v>42915</v>
      </c>
      <c r="B7" s="88" t="s">
        <v>227</v>
      </c>
    </row>
    <row r="8" spans="1:2" ht="15.75">
      <c r="A8" s="234">
        <v>42516</v>
      </c>
      <c r="B8" s="88" t="s">
        <v>227</v>
      </c>
    </row>
    <row r="9" spans="1:2" ht="15.75">
      <c r="A9" s="234">
        <v>42369</v>
      </c>
      <c r="B9" s="88" t="s">
        <v>229</v>
      </c>
    </row>
    <row r="10" spans="1:2" ht="15.75">
      <c r="A10" s="234">
        <v>42171</v>
      </c>
      <c r="B10" s="88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F780-0621-4FC9-9CF8-BCFA4185CA0E}">
  <dimension ref="A1:AO102"/>
  <sheetViews>
    <sheetView rightToLeft="1" workbookViewId="0"/>
  </sheetViews>
  <sheetFormatPr defaultRowHeight="14.25"/>
  <cols>
    <col min="1" max="1" width="28.875" style="7" bestFit="1" customWidth="1"/>
    <col min="2" max="2" width="1.625" style="7" customWidth="1"/>
    <col min="3" max="13" width="9" style="7"/>
    <col min="14" max="14" width="1.625" style="7" customWidth="1"/>
    <col min="15" max="15" width="9" style="7"/>
    <col min="16" max="16" width="1.625" style="7" customWidth="1"/>
    <col min="17" max="17" width="9" style="7"/>
    <col min="18" max="18" width="1.625" style="7" customWidth="1"/>
    <col min="19" max="19" width="9" style="7"/>
    <col min="20" max="20" width="1.625" style="7" customWidth="1"/>
    <col min="21" max="21" width="9" style="7"/>
    <col min="22" max="22" width="1.625" style="7" customWidth="1"/>
    <col min="23" max="23" width="9" style="7"/>
    <col min="24" max="24" width="1.625" style="7" customWidth="1"/>
    <col min="25" max="25" width="9" style="7"/>
    <col min="26" max="26" width="1.625" style="7" customWidth="1"/>
    <col min="27" max="27" width="9" style="7"/>
    <col min="28" max="28" width="1.625" style="7" customWidth="1"/>
    <col min="29" max="29" width="9" style="7"/>
    <col min="30" max="30" width="1.625" style="7" customWidth="1"/>
    <col min="31" max="31" width="9" style="7"/>
    <col min="32" max="32" width="1.625" style="7" customWidth="1"/>
    <col min="33" max="33" width="9" style="7"/>
    <col min="34" max="34" width="1.625" style="7" customWidth="1"/>
    <col min="35" max="35" width="9" style="7"/>
    <col min="36" max="36" width="1.625" style="7" customWidth="1"/>
    <col min="37" max="37" width="9" style="7"/>
    <col min="38" max="38" width="1.625" style="7" customWidth="1"/>
    <col min="39" max="39" width="9" style="7"/>
    <col min="40" max="40" width="1.625" style="7" customWidth="1"/>
    <col min="41" max="16384" width="9" style="7"/>
  </cols>
  <sheetData>
    <row r="1" spans="1:39" ht="28.5">
      <c r="A1" s="55" t="s">
        <v>29</v>
      </c>
      <c r="B1" s="55"/>
      <c r="C1" s="56">
        <v>2016</v>
      </c>
      <c r="D1" s="56">
        <f t="shared" ref="D1:M1" si="0">C1-1</f>
        <v>2015</v>
      </c>
      <c r="E1" s="56">
        <f t="shared" si="0"/>
        <v>2014</v>
      </c>
      <c r="F1" s="56">
        <f t="shared" si="0"/>
        <v>2013</v>
      </c>
      <c r="G1" s="56">
        <f t="shared" si="0"/>
        <v>2012</v>
      </c>
      <c r="H1" s="56">
        <f t="shared" si="0"/>
        <v>2011</v>
      </c>
      <c r="I1" s="56">
        <f t="shared" si="0"/>
        <v>2010</v>
      </c>
      <c r="J1" s="56">
        <f t="shared" si="0"/>
        <v>2009</v>
      </c>
      <c r="K1" s="56">
        <f t="shared" si="0"/>
        <v>2008</v>
      </c>
      <c r="L1" s="56">
        <f t="shared" si="0"/>
        <v>2007</v>
      </c>
      <c r="M1" s="56">
        <f t="shared" si="0"/>
        <v>2006</v>
      </c>
      <c r="N1" s="57"/>
      <c r="O1" s="56">
        <f>M1-1</f>
        <v>2005</v>
      </c>
      <c r="P1" s="57"/>
      <c r="Q1" s="56">
        <f>O1-1</f>
        <v>2004</v>
      </c>
      <c r="R1" s="57"/>
      <c r="S1" s="56">
        <f>Q1-1</f>
        <v>2003</v>
      </c>
      <c r="T1" s="57"/>
      <c r="U1" s="56">
        <f>S1-1</f>
        <v>2002</v>
      </c>
      <c r="V1" s="57"/>
      <c r="W1" s="56">
        <f>U1-1</f>
        <v>2001</v>
      </c>
      <c r="X1" s="57"/>
      <c r="Y1" s="56">
        <f>W1-1</f>
        <v>2000</v>
      </c>
      <c r="Z1" s="57"/>
      <c r="AA1" s="56">
        <f>Y1-1</f>
        <v>1999</v>
      </c>
      <c r="AB1" s="57"/>
      <c r="AC1" s="56">
        <f>AA1-1</f>
        <v>1998</v>
      </c>
      <c r="AD1" s="57"/>
      <c r="AE1" s="56">
        <f>AC1-1</f>
        <v>1997</v>
      </c>
      <c r="AF1" s="57"/>
      <c r="AG1" s="56">
        <f>AE1-1</f>
        <v>1996</v>
      </c>
      <c r="AH1" s="57"/>
      <c r="AI1" s="56">
        <f>AG1-1</f>
        <v>1995</v>
      </c>
      <c r="AJ1" s="57"/>
      <c r="AK1" s="56">
        <f>AI1-1</f>
        <v>1994</v>
      </c>
      <c r="AM1" s="56">
        <v>1993</v>
      </c>
    </row>
    <row r="3" spans="1:39">
      <c r="A3" s="7" t="s">
        <v>148</v>
      </c>
    </row>
    <row r="4" spans="1:39">
      <c r="A4" s="7" t="s">
        <v>0</v>
      </c>
      <c r="C4" s="58">
        <v>178417</v>
      </c>
      <c r="D4" s="58">
        <v>150357</v>
      </c>
      <c r="E4" s="58">
        <v>125576</v>
      </c>
    </row>
    <row r="5" spans="1:39">
      <c r="A5" s="7" t="s">
        <v>1</v>
      </c>
      <c r="C5" s="58">
        <v>17763</v>
      </c>
      <c r="D5" s="58">
        <v>13802</v>
      </c>
      <c r="E5" s="58">
        <v>10998</v>
      </c>
    </row>
    <row r="6" spans="1:39">
      <c r="A6" s="7" t="s">
        <v>149</v>
      </c>
      <c r="C6" s="58">
        <v>0</v>
      </c>
      <c r="D6" s="58">
        <v>0</v>
      </c>
      <c r="E6" s="58">
        <v>0</v>
      </c>
    </row>
    <row r="7" spans="1:39">
      <c r="A7" s="7" t="s">
        <v>19</v>
      </c>
      <c r="C7" s="58">
        <v>0</v>
      </c>
      <c r="D7" s="58">
        <v>0</v>
      </c>
      <c r="E7" s="58">
        <v>0</v>
      </c>
    </row>
    <row r="8" spans="1:39">
      <c r="A8" s="7" t="s">
        <v>2</v>
      </c>
      <c r="C8" s="59">
        <f>SUM(C4:C7)</f>
        <v>196180</v>
      </c>
      <c r="D8" s="59">
        <f>SUM(D4:D7)</f>
        <v>164159</v>
      </c>
      <c r="E8" s="59">
        <f>SUM(E4:E7)</f>
        <v>136574</v>
      </c>
      <c r="F8" s="59">
        <v>130482</v>
      </c>
      <c r="G8" s="59">
        <v>136062</v>
      </c>
      <c r="H8" s="59">
        <v>119650</v>
      </c>
      <c r="I8" s="59">
        <v>109283</v>
      </c>
      <c r="J8" s="59">
        <v>139957</v>
      </c>
      <c r="K8" s="59">
        <v>205983</v>
      </c>
      <c r="L8" s="59">
        <v>180844</v>
      </c>
      <c r="M8" s="59">
        <v>100621</v>
      </c>
      <c r="O8" s="59">
        <v>89451</v>
      </c>
      <c r="Q8" s="59">
        <v>82841</v>
      </c>
      <c r="S8" s="59">
        <v>81078</v>
      </c>
      <c r="U8" s="59">
        <v>74643</v>
      </c>
      <c r="W8" s="59">
        <v>88409</v>
      </c>
      <c r="Y8" s="59">
        <v>89501</v>
      </c>
      <c r="AA8" s="59">
        <v>86746</v>
      </c>
      <c r="AC8" s="59">
        <v>72484</v>
      </c>
      <c r="AE8" s="59">
        <v>92539</v>
      </c>
      <c r="AG8" s="59">
        <v>90150</v>
      </c>
      <c r="AI8" s="59">
        <v>79892</v>
      </c>
      <c r="AK8" s="59">
        <v>66349</v>
      </c>
      <c r="AM8" s="59">
        <f>94399</f>
        <v>94399</v>
      </c>
    </row>
    <row r="9" spans="1:39">
      <c r="C9" s="58"/>
      <c r="D9" s="58"/>
      <c r="E9" s="58"/>
      <c r="F9" s="58"/>
    </row>
    <row r="10" spans="1:39">
      <c r="A10" s="7" t="s">
        <v>150</v>
      </c>
      <c r="C10" s="58"/>
      <c r="D10" s="58"/>
      <c r="E10" s="58"/>
      <c r="F10" s="58"/>
    </row>
    <row r="11" spans="1:39">
      <c r="A11" s="7" t="s">
        <v>3</v>
      </c>
      <c r="C11" s="58">
        <v>71711</v>
      </c>
      <c r="D11" s="58">
        <v>73593</v>
      </c>
      <c r="E11" s="58">
        <v>76990</v>
      </c>
      <c r="F11" s="58">
        <v>70170</v>
      </c>
      <c r="G11" s="58">
        <v>80244</v>
      </c>
      <c r="H11" s="58">
        <v>72225</v>
      </c>
      <c r="I11" s="58">
        <v>55162</v>
      </c>
      <c r="J11" s="58">
        <v>63282</v>
      </c>
      <c r="K11" s="58">
        <v>131480</v>
      </c>
      <c r="L11" s="58">
        <v>123738</v>
      </c>
      <c r="M11" s="58">
        <v>60876</v>
      </c>
      <c r="O11" s="58">
        <v>49706</v>
      </c>
      <c r="Q11" s="58">
        <v>39773</v>
      </c>
      <c r="S11" s="58">
        <v>43889</v>
      </c>
      <c r="U11" s="58">
        <v>43218</v>
      </c>
      <c r="W11" s="58">
        <v>47380</v>
      </c>
      <c r="Y11" s="58">
        <v>51262</v>
      </c>
      <c r="AA11" s="58">
        <v>50891</v>
      </c>
      <c r="AC11" s="58">
        <v>42700</v>
      </c>
      <c r="AE11" s="58">
        <v>53811</v>
      </c>
      <c r="AG11" s="58">
        <v>52392</v>
      </c>
      <c r="AI11" s="58">
        <v>50990</v>
      </c>
      <c r="AK11" s="58">
        <v>48686</v>
      </c>
    </row>
    <row r="12" spans="1:39">
      <c r="A12" s="7" t="s">
        <v>4</v>
      </c>
      <c r="C12" s="58">
        <v>23851</v>
      </c>
      <c r="D12" s="58">
        <v>18172</v>
      </c>
      <c r="E12" s="58">
        <v>17763</v>
      </c>
      <c r="F12" s="58">
        <v>17261</v>
      </c>
      <c r="G12" s="58">
        <v>15599</v>
      </c>
      <c r="H12" s="58">
        <v>16600</v>
      </c>
      <c r="I12" s="58">
        <v>17234</v>
      </c>
      <c r="J12" s="58">
        <v>18423</v>
      </c>
      <c r="K12" s="58">
        <v>24328</v>
      </c>
      <c r="L12" s="58">
        <v>18462</v>
      </c>
      <c r="M12" s="58">
        <v>11948</v>
      </c>
      <c r="O12" s="58">
        <v>11046</v>
      </c>
      <c r="Q12" s="58">
        <v>10630</v>
      </c>
      <c r="S12" s="58">
        <v>9062</v>
      </c>
      <c r="U12" s="58">
        <v>8459</v>
      </c>
      <c r="W12" s="58">
        <v>10060</v>
      </c>
      <c r="Y12" s="58">
        <v>9730</v>
      </c>
      <c r="AA12" s="58">
        <v>7796</v>
      </c>
      <c r="AC12" s="58">
        <v>6437</v>
      </c>
      <c r="AE12" s="58">
        <v>6648</v>
      </c>
      <c r="AG12" s="58">
        <v>5657</v>
      </c>
      <c r="AI12" s="58">
        <v>3932</v>
      </c>
      <c r="AK12" s="58">
        <v>4089</v>
      </c>
    </row>
    <row r="13" spans="1:39">
      <c r="A13" s="7" t="s">
        <v>5</v>
      </c>
      <c r="C13" s="58">
        <v>2071</v>
      </c>
      <c r="D13" s="58">
        <v>3582</v>
      </c>
      <c r="E13" s="58">
        <v>-1520</v>
      </c>
      <c r="F13" s="58">
        <v>2340</v>
      </c>
      <c r="G13" s="58">
        <v>149</v>
      </c>
      <c r="H13" s="58">
        <v>-3537</v>
      </c>
      <c r="I13" s="58">
        <v>2202</v>
      </c>
      <c r="J13" s="58">
        <v>24349</v>
      </c>
      <c r="K13" s="58">
        <v>2382</v>
      </c>
      <c r="L13" s="58">
        <v>-12044</v>
      </c>
      <c r="M13" s="58">
        <v>-4058</v>
      </c>
      <c r="O13" s="58">
        <v>-830</v>
      </c>
      <c r="Q13" s="58">
        <v>-2730</v>
      </c>
      <c r="S13" s="58">
        <v>2365</v>
      </c>
      <c r="U13" s="58">
        <v>-3356</v>
      </c>
      <c r="W13" s="58">
        <v>-756</v>
      </c>
      <c r="Y13" s="58">
        <v>-2633</v>
      </c>
      <c r="AA13" s="58">
        <v>-2010</v>
      </c>
      <c r="AC13" s="58">
        <v>-1746</v>
      </c>
      <c r="AE13" s="58">
        <v>-411</v>
      </c>
      <c r="AG13" s="58">
        <v>1260</v>
      </c>
      <c r="AI13" s="58">
        <v>-2923</v>
      </c>
      <c r="AK13" s="58">
        <v>3073</v>
      </c>
    </row>
    <row r="14" spans="1:39">
      <c r="A14" s="7" t="s">
        <v>6</v>
      </c>
      <c r="C14" s="58">
        <v>7035</v>
      </c>
      <c r="D14" s="58">
        <v>5180</v>
      </c>
      <c r="E14" s="58">
        <v>4072</v>
      </c>
      <c r="F14" s="58">
        <v>3852</v>
      </c>
      <c r="G14" s="58">
        <v>4001</v>
      </c>
      <c r="H14" s="58">
        <v>4462</v>
      </c>
      <c r="I14" s="58">
        <v>4369</v>
      </c>
      <c r="J14" s="58">
        <v>5170</v>
      </c>
      <c r="K14" s="58">
        <v>6954</v>
      </c>
      <c r="L14" s="58">
        <v>6103</v>
      </c>
      <c r="M14" s="58">
        <v>4147</v>
      </c>
      <c r="O14" s="58">
        <v>4196</v>
      </c>
      <c r="Q14" s="58">
        <v>4196</v>
      </c>
      <c r="S14" s="58">
        <v>3110</v>
      </c>
      <c r="U14" s="58">
        <v>3247</v>
      </c>
      <c r="W14" s="58">
        <v>3783</v>
      </c>
      <c r="Y14" s="58">
        <v>3536</v>
      </c>
      <c r="AA14" s="58">
        <v>3279</v>
      </c>
      <c r="AC14" s="58">
        <v>2742</v>
      </c>
      <c r="AE14" s="58">
        <v>2620</v>
      </c>
      <c r="AG14" s="58">
        <v>2474</v>
      </c>
      <c r="AI14" s="58">
        <v>1536</v>
      </c>
      <c r="AK14" s="58">
        <v>1468</v>
      </c>
    </row>
    <row r="15" spans="1:39">
      <c r="A15" s="7" t="s">
        <v>7</v>
      </c>
      <c r="C15" s="58">
        <v>42811</v>
      </c>
      <c r="D15" s="58">
        <v>22068</v>
      </c>
      <c r="E15" s="58">
        <v>1509</v>
      </c>
      <c r="F15" s="58">
        <v>1928</v>
      </c>
      <c r="G15" s="58">
        <v>864</v>
      </c>
      <c r="H15" s="58">
        <v>1349</v>
      </c>
      <c r="I15" s="58">
        <v>1629</v>
      </c>
      <c r="J15" s="58">
        <v>0</v>
      </c>
      <c r="K15" s="58">
        <v>0</v>
      </c>
      <c r="L15" s="58">
        <v>0</v>
      </c>
      <c r="M15" s="58">
        <v>249</v>
      </c>
      <c r="O15" s="58">
        <v>97</v>
      </c>
      <c r="Q15" s="58">
        <v>169</v>
      </c>
      <c r="S15" s="58">
        <v>391</v>
      </c>
      <c r="U15" s="58">
        <v>974</v>
      </c>
      <c r="W15" s="58">
        <v>1046</v>
      </c>
      <c r="Y15" s="58">
        <v>1281</v>
      </c>
      <c r="AA15" s="58">
        <v>836</v>
      </c>
      <c r="AC15" s="58">
        <v>866</v>
      </c>
      <c r="AE15" s="58">
        <v>1980</v>
      </c>
      <c r="AG15" s="58">
        <v>1844</v>
      </c>
      <c r="AI15" s="58">
        <v>1435</v>
      </c>
      <c r="AK15" s="58">
        <v>1136</v>
      </c>
    </row>
    <row r="16" spans="1:39">
      <c r="A16" s="7" t="s">
        <v>8</v>
      </c>
      <c r="C16" s="58">
        <v>20003</v>
      </c>
      <c r="D16" s="58">
        <v>15655</v>
      </c>
      <c r="E16" s="58">
        <v>15518</v>
      </c>
      <c r="F16" s="58">
        <v>13816</v>
      </c>
      <c r="G16" s="58">
        <v>12936</v>
      </c>
      <c r="H16" s="58">
        <v>13891</v>
      </c>
      <c r="I16" s="58">
        <v>14212</v>
      </c>
      <c r="J16" s="58">
        <v>19058</v>
      </c>
      <c r="K16" s="58">
        <v>24095</v>
      </c>
      <c r="L16" s="58">
        <v>19028</v>
      </c>
      <c r="M16" s="58">
        <v>11198</v>
      </c>
      <c r="O16" s="58">
        <v>10789</v>
      </c>
      <c r="Q16" s="58">
        <v>9765</v>
      </c>
      <c r="S16" s="58">
        <v>8118</v>
      </c>
      <c r="U16" s="58">
        <v>8032</v>
      </c>
      <c r="W16" s="58">
        <v>7439</v>
      </c>
      <c r="Y16" s="58">
        <v>5797</v>
      </c>
      <c r="AA16" s="58">
        <v>5072</v>
      </c>
      <c r="AC16" s="58">
        <v>3987</v>
      </c>
      <c r="AE16" s="58">
        <v>4527</v>
      </c>
      <c r="AG16" s="58">
        <v>3847</v>
      </c>
      <c r="AI16" s="58">
        <v>3111</v>
      </c>
      <c r="AK16" s="58">
        <v>3060</v>
      </c>
    </row>
    <row r="17" spans="1:41">
      <c r="A17" s="7" t="s">
        <v>9</v>
      </c>
      <c r="C17" s="59">
        <f>SUM(C11:C16)</f>
        <v>167482</v>
      </c>
      <c r="D17" s="59">
        <f>SUM(D11:D16)</f>
        <v>138250</v>
      </c>
      <c r="E17" s="59">
        <f>SUM(E11:E16)</f>
        <v>114332</v>
      </c>
      <c r="F17" s="59">
        <f>SUM(F11:F16)</f>
        <v>109367</v>
      </c>
      <c r="G17" s="59">
        <f t="shared" ref="G17:AK17" si="1">SUM(G11:G16)</f>
        <v>113793</v>
      </c>
      <c r="H17" s="59">
        <f t="shared" si="1"/>
        <v>104990</v>
      </c>
      <c r="I17" s="59">
        <f t="shared" si="1"/>
        <v>94808</v>
      </c>
      <c r="J17" s="59">
        <f t="shared" si="1"/>
        <v>130282</v>
      </c>
      <c r="K17" s="59">
        <f t="shared" si="1"/>
        <v>189239</v>
      </c>
      <c r="L17" s="59">
        <f t="shared" si="1"/>
        <v>155287</v>
      </c>
      <c r="M17" s="59">
        <f t="shared" si="1"/>
        <v>84360</v>
      </c>
      <c r="O17" s="59">
        <f t="shared" si="1"/>
        <v>75004</v>
      </c>
      <c r="Q17" s="59">
        <f t="shared" si="1"/>
        <v>61803</v>
      </c>
      <c r="S17" s="59">
        <f t="shared" si="1"/>
        <v>66935</v>
      </c>
      <c r="U17" s="59">
        <f t="shared" si="1"/>
        <v>60574</v>
      </c>
      <c r="W17" s="59">
        <f t="shared" si="1"/>
        <v>68952</v>
      </c>
      <c r="Y17" s="59">
        <f t="shared" si="1"/>
        <v>68973</v>
      </c>
      <c r="AA17" s="59">
        <f t="shared" si="1"/>
        <v>65864</v>
      </c>
      <c r="AC17" s="59">
        <f t="shared" si="1"/>
        <v>54986</v>
      </c>
      <c r="AE17" s="59">
        <f t="shared" si="1"/>
        <v>69175</v>
      </c>
      <c r="AG17" s="59">
        <f t="shared" si="1"/>
        <v>67474</v>
      </c>
      <c r="AI17" s="59">
        <f t="shared" si="1"/>
        <v>58081</v>
      </c>
      <c r="AK17" s="59">
        <f t="shared" si="1"/>
        <v>61512</v>
      </c>
      <c r="AM17" s="59">
        <f>AM8-12541</f>
        <v>81858</v>
      </c>
    </row>
    <row r="18" spans="1:41">
      <c r="C18" s="58"/>
      <c r="D18" s="58"/>
      <c r="E18" s="58"/>
      <c r="F18" s="58"/>
    </row>
    <row r="19" spans="1:41" s="60" customFormat="1" ht="15">
      <c r="A19" s="60" t="s">
        <v>10</v>
      </c>
      <c r="C19" s="61">
        <f>C8-C17</f>
        <v>28698</v>
      </c>
      <c r="D19" s="61">
        <f>D8-D17</f>
        <v>25909</v>
      </c>
      <c r="E19" s="61">
        <f>E8-E17</f>
        <v>22242</v>
      </c>
      <c r="F19" s="61">
        <f>F8-F17</f>
        <v>21115</v>
      </c>
      <c r="G19" s="61">
        <f t="shared" ref="G19:AM19" si="2">G8-G17</f>
        <v>22269</v>
      </c>
      <c r="H19" s="61">
        <f t="shared" si="2"/>
        <v>14660</v>
      </c>
      <c r="I19" s="61">
        <f t="shared" si="2"/>
        <v>14475</v>
      </c>
      <c r="J19" s="61">
        <f t="shared" si="2"/>
        <v>9675</v>
      </c>
      <c r="K19" s="61">
        <f t="shared" si="2"/>
        <v>16744</v>
      </c>
      <c r="L19" s="61">
        <f t="shared" si="2"/>
        <v>25557</v>
      </c>
      <c r="M19" s="61">
        <f t="shared" si="2"/>
        <v>16261</v>
      </c>
      <c r="O19" s="61">
        <f t="shared" si="2"/>
        <v>14447</v>
      </c>
      <c r="Q19" s="61">
        <f t="shared" si="2"/>
        <v>21038</v>
      </c>
      <c r="S19" s="61">
        <f t="shared" si="2"/>
        <v>14143</v>
      </c>
      <c r="U19" s="61">
        <f t="shared" si="2"/>
        <v>14069</v>
      </c>
      <c r="W19" s="61">
        <f t="shared" si="2"/>
        <v>19457</v>
      </c>
      <c r="Y19" s="61">
        <f t="shared" si="2"/>
        <v>20528</v>
      </c>
      <c r="AA19" s="61">
        <f t="shared" si="2"/>
        <v>20882</v>
      </c>
      <c r="AC19" s="61">
        <f t="shared" si="2"/>
        <v>17498</v>
      </c>
      <c r="AE19" s="61">
        <f t="shared" si="2"/>
        <v>23364</v>
      </c>
      <c r="AG19" s="61">
        <f t="shared" si="2"/>
        <v>22676</v>
      </c>
      <c r="AI19" s="61">
        <f t="shared" si="2"/>
        <v>21811</v>
      </c>
      <c r="AK19" s="61">
        <f t="shared" si="2"/>
        <v>4837</v>
      </c>
      <c r="AM19" s="61">
        <f t="shared" si="2"/>
        <v>12541</v>
      </c>
    </row>
    <row r="20" spans="1:41">
      <c r="C20" s="58"/>
      <c r="D20" s="58"/>
      <c r="E20" s="58"/>
      <c r="F20" s="58"/>
    </row>
    <row r="21" spans="1:41">
      <c r="A21" s="7" t="s">
        <v>11</v>
      </c>
      <c r="C21" s="58"/>
      <c r="D21" s="58"/>
      <c r="E21" s="58"/>
      <c r="F21" s="58"/>
    </row>
    <row r="22" spans="1:41">
      <c r="A22" s="7" t="s">
        <v>12</v>
      </c>
      <c r="C22" s="58">
        <v>0</v>
      </c>
      <c r="D22" s="58">
        <v>0</v>
      </c>
      <c r="E22" s="58">
        <v>0</v>
      </c>
      <c r="F22" s="58">
        <v>0</v>
      </c>
      <c r="G22" s="58">
        <v>0</v>
      </c>
      <c r="H22" s="58">
        <v>0</v>
      </c>
      <c r="I22" s="58">
        <v>0</v>
      </c>
      <c r="J22" s="58">
        <v>0</v>
      </c>
      <c r="K22" s="58">
        <v>0</v>
      </c>
      <c r="L22" s="58">
        <v>0</v>
      </c>
      <c r="M22" s="58">
        <v>0</v>
      </c>
      <c r="O22" s="58">
        <v>0</v>
      </c>
      <c r="Q22" s="58">
        <v>0</v>
      </c>
      <c r="S22" s="58">
        <v>0</v>
      </c>
      <c r="U22" s="58">
        <v>0</v>
      </c>
      <c r="W22" s="58">
        <v>0</v>
      </c>
      <c r="Y22" s="58">
        <v>0</v>
      </c>
      <c r="AA22" s="58">
        <v>0</v>
      </c>
      <c r="AC22" s="58">
        <v>0</v>
      </c>
      <c r="AE22" s="58">
        <v>0</v>
      </c>
      <c r="AG22" s="58">
        <v>0</v>
      </c>
      <c r="AI22" s="58">
        <v>0</v>
      </c>
      <c r="AK22" s="58">
        <v>0</v>
      </c>
      <c r="AM22" s="58">
        <v>0</v>
      </c>
    </row>
    <row r="23" spans="1:41">
      <c r="A23" s="7" t="s">
        <v>13</v>
      </c>
      <c r="C23" s="58">
        <v>11170</v>
      </c>
      <c r="D23" s="58">
        <v>9262</v>
      </c>
      <c r="E23" s="58">
        <v>5690</v>
      </c>
      <c r="F23" s="58">
        <v>4074</v>
      </c>
      <c r="G23" s="58">
        <v>3456</v>
      </c>
      <c r="H23" s="58">
        <v>4341</v>
      </c>
      <c r="I23" s="58">
        <v>3906</v>
      </c>
      <c r="J23" s="58">
        <v>7390</v>
      </c>
      <c r="K23" s="58">
        <v>14128</v>
      </c>
      <c r="L23" s="58">
        <v>10303</v>
      </c>
      <c r="M23" s="58">
        <v>2019</v>
      </c>
      <c r="O23" s="58">
        <v>2048</v>
      </c>
      <c r="Q23" s="58">
        <v>2416</v>
      </c>
      <c r="S23" s="58">
        <v>1751</v>
      </c>
      <c r="U23" s="58">
        <v>1679</v>
      </c>
      <c r="W23" s="58">
        <v>1997</v>
      </c>
      <c r="Y23" s="58">
        <v>2362</v>
      </c>
      <c r="AA23" s="58">
        <v>1832</v>
      </c>
      <c r="AC23" s="58">
        <v>1868</v>
      </c>
      <c r="AE23" s="58">
        <v>1730</v>
      </c>
      <c r="AG23" s="58">
        <v>1430</v>
      </c>
      <c r="AI23" s="58">
        <v>1222</v>
      </c>
      <c r="AK23" s="58">
        <v>2480</v>
      </c>
      <c r="AM23" s="58">
        <f>1310</f>
        <v>1310</v>
      </c>
    </row>
    <row r="24" spans="1:41">
      <c r="A24" s="7" t="s">
        <v>14</v>
      </c>
      <c r="C24" s="58">
        <v>12109</v>
      </c>
      <c r="D24" s="58">
        <v>11339</v>
      </c>
      <c r="E24" s="58">
        <v>9751</v>
      </c>
      <c r="F24" s="58">
        <v>9372</v>
      </c>
      <c r="G24" s="58">
        <v>9729</v>
      </c>
      <c r="H24" s="58">
        <v>9573</v>
      </c>
      <c r="I24" s="58">
        <v>10658</v>
      </c>
      <c r="J24" s="58">
        <v>13091</v>
      </c>
      <c r="K24" s="58">
        <v>15661</v>
      </c>
      <c r="L24" s="58">
        <v>10960</v>
      </c>
      <c r="M24" s="58">
        <v>8113</v>
      </c>
      <c r="O24" s="58">
        <v>8731</v>
      </c>
      <c r="Q24" s="58">
        <v>7555</v>
      </c>
      <c r="S24" s="58">
        <v>6341</v>
      </c>
      <c r="U24" s="58">
        <v>6787</v>
      </c>
      <c r="W24" s="58">
        <v>8781</v>
      </c>
      <c r="Y24" s="58">
        <v>8216</v>
      </c>
      <c r="AA24" s="58">
        <v>7746</v>
      </c>
      <c r="AC24" s="58">
        <v>8444</v>
      </c>
      <c r="AE24" s="58">
        <v>8175</v>
      </c>
      <c r="AG24" s="58">
        <v>8545</v>
      </c>
      <c r="AI24" s="58">
        <v>7246</v>
      </c>
      <c r="AK24" s="58">
        <v>5770</v>
      </c>
      <c r="AM24" s="58">
        <v>5179</v>
      </c>
    </row>
    <row r="25" spans="1:41">
      <c r="A25" s="7" t="s">
        <v>15</v>
      </c>
      <c r="C25" s="59">
        <f>SUM(C22:C24)</f>
        <v>23279</v>
      </c>
      <c r="D25" s="59">
        <f>SUM(D22:D24)</f>
        <v>20601</v>
      </c>
      <c r="E25" s="59">
        <f>SUM(E22:E24)</f>
        <v>15441</v>
      </c>
      <c r="F25" s="59">
        <f>SUM(F22:F24)</f>
        <v>13446</v>
      </c>
      <c r="G25" s="59">
        <f t="shared" ref="G25:AM25" si="3">SUM(G22:G24)</f>
        <v>13185</v>
      </c>
      <c r="H25" s="59">
        <f t="shared" si="3"/>
        <v>13914</v>
      </c>
      <c r="I25" s="59">
        <f t="shared" si="3"/>
        <v>14564</v>
      </c>
      <c r="J25" s="59">
        <f t="shared" si="3"/>
        <v>20481</v>
      </c>
      <c r="K25" s="59">
        <f t="shared" si="3"/>
        <v>29789</v>
      </c>
      <c r="L25" s="59">
        <f t="shared" si="3"/>
        <v>21263</v>
      </c>
      <c r="M25" s="59">
        <f t="shared" si="3"/>
        <v>10132</v>
      </c>
      <c r="O25" s="59">
        <f t="shared" si="3"/>
        <v>10779</v>
      </c>
      <c r="Q25" s="59">
        <f t="shared" si="3"/>
        <v>9971</v>
      </c>
      <c r="S25" s="59">
        <f t="shared" si="3"/>
        <v>8092</v>
      </c>
      <c r="U25" s="59">
        <f t="shared" si="3"/>
        <v>8466</v>
      </c>
      <c r="W25" s="59">
        <f t="shared" si="3"/>
        <v>10778</v>
      </c>
      <c r="Y25" s="59">
        <f t="shared" si="3"/>
        <v>10578</v>
      </c>
      <c r="AA25" s="59">
        <f t="shared" si="3"/>
        <v>9578</v>
      </c>
      <c r="AC25" s="59">
        <f t="shared" si="3"/>
        <v>10312</v>
      </c>
      <c r="AE25" s="59">
        <f t="shared" si="3"/>
        <v>9905</v>
      </c>
      <c r="AG25" s="59">
        <f t="shared" si="3"/>
        <v>9975</v>
      </c>
      <c r="AI25" s="59">
        <f t="shared" si="3"/>
        <v>8468</v>
      </c>
      <c r="AK25" s="59">
        <f t="shared" si="3"/>
        <v>8250</v>
      </c>
      <c r="AM25" s="59">
        <f t="shared" si="3"/>
        <v>6489</v>
      </c>
      <c r="AO25" s="58"/>
    </row>
    <row r="26" spans="1:41">
      <c r="C26" s="58"/>
      <c r="D26" s="58"/>
      <c r="E26" s="58"/>
      <c r="F26" s="58"/>
    </row>
    <row r="27" spans="1:41" ht="15">
      <c r="A27" s="60" t="s">
        <v>16</v>
      </c>
      <c r="C27" s="61">
        <f>C19-C25</f>
        <v>5419</v>
      </c>
      <c r="D27" s="61">
        <f>D19-D25</f>
        <v>5308</v>
      </c>
      <c r="E27" s="61">
        <f>E19-E25</f>
        <v>6801</v>
      </c>
      <c r="F27" s="61">
        <f>F19-F25</f>
        <v>7669</v>
      </c>
      <c r="G27" s="61">
        <f t="shared" ref="G27:AK27" si="4">G19-G25</f>
        <v>9084</v>
      </c>
      <c r="H27" s="61">
        <f t="shared" si="4"/>
        <v>746</v>
      </c>
      <c r="I27" s="61">
        <f t="shared" si="4"/>
        <v>-89</v>
      </c>
      <c r="J27" s="61">
        <f t="shared" si="4"/>
        <v>-10806</v>
      </c>
      <c r="K27" s="61">
        <f t="shared" si="4"/>
        <v>-13045</v>
      </c>
      <c r="L27" s="61">
        <f t="shared" si="4"/>
        <v>4294</v>
      </c>
      <c r="M27" s="61">
        <f t="shared" si="4"/>
        <v>6129</v>
      </c>
      <c r="O27" s="61">
        <f t="shared" si="4"/>
        <v>3668</v>
      </c>
      <c r="Q27" s="61">
        <f t="shared" si="4"/>
        <v>11067</v>
      </c>
      <c r="S27" s="61">
        <f t="shared" si="4"/>
        <v>6051</v>
      </c>
      <c r="U27" s="61">
        <f t="shared" si="4"/>
        <v>5603</v>
      </c>
      <c r="W27" s="61">
        <f t="shared" si="4"/>
        <v>8679</v>
      </c>
      <c r="Y27" s="61">
        <f t="shared" si="4"/>
        <v>9950</v>
      </c>
      <c r="AA27" s="61">
        <f t="shared" si="4"/>
        <v>11304</v>
      </c>
      <c r="AC27" s="61">
        <f t="shared" si="4"/>
        <v>7186</v>
      </c>
      <c r="AE27" s="61">
        <f t="shared" si="4"/>
        <v>13459</v>
      </c>
      <c r="AG27" s="61">
        <f t="shared" si="4"/>
        <v>12701</v>
      </c>
      <c r="AI27" s="61">
        <f t="shared" si="4"/>
        <v>13343</v>
      </c>
      <c r="AK27" s="61">
        <f t="shared" si="4"/>
        <v>-3413</v>
      </c>
      <c r="AM27" s="61">
        <f>AM19-AM25</f>
        <v>6052</v>
      </c>
    </row>
    <row r="28" spans="1:41">
      <c r="A28" s="7" t="s">
        <v>241</v>
      </c>
      <c r="C28" s="58">
        <f>C27+C37</f>
        <v>-2606</v>
      </c>
      <c r="D28" s="58">
        <f t="shared" ref="D28:N28" si="5">D27+D37</f>
        <v>5414</v>
      </c>
      <c r="E28" s="58">
        <f t="shared" si="5"/>
        <v>5836</v>
      </c>
      <c r="F28" s="58">
        <f t="shared" si="5"/>
        <v>7599</v>
      </c>
      <c r="G28" s="58">
        <f t="shared" si="5"/>
        <v>9008</v>
      </c>
      <c r="H28" s="58">
        <f t="shared" si="5"/>
        <v>-592</v>
      </c>
      <c r="I28" s="58">
        <f t="shared" si="5"/>
        <v>255</v>
      </c>
      <c r="J28" s="58">
        <f t="shared" si="5"/>
        <v>-28460</v>
      </c>
      <c r="K28" s="58">
        <f t="shared" si="5"/>
        <v>-17501</v>
      </c>
      <c r="L28" s="58">
        <f t="shared" si="5"/>
        <v>7214</v>
      </c>
      <c r="M28" s="58">
        <f t="shared" si="5"/>
        <v>6209</v>
      </c>
      <c r="N28" s="58">
        <f t="shared" si="5"/>
        <v>0</v>
      </c>
    </row>
    <row r="29" spans="1:41">
      <c r="A29" s="7" t="s">
        <v>17</v>
      </c>
      <c r="C29" s="62">
        <v>6378</v>
      </c>
      <c r="D29" s="62">
        <v>7624</v>
      </c>
      <c r="E29" s="62">
        <v>4112</v>
      </c>
      <c r="F29" s="62">
        <v>1367</v>
      </c>
      <c r="G29" s="62">
        <v>8929</v>
      </c>
      <c r="H29" s="62">
        <v>8996</v>
      </c>
      <c r="I29" s="62">
        <v>11776</v>
      </c>
      <c r="J29" s="62">
        <v>8257</v>
      </c>
      <c r="K29" s="62">
        <v>11121</v>
      </c>
      <c r="L29" s="62">
        <v>9392</v>
      </c>
      <c r="M29" s="62">
        <v>5990</v>
      </c>
      <c r="O29" s="62">
        <v>5352</v>
      </c>
      <c r="Q29" s="62">
        <v>5632</v>
      </c>
      <c r="S29" s="62">
        <v>2458</v>
      </c>
      <c r="U29" s="62">
        <v>5169</v>
      </c>
      <c r="W29" s="62">
        <v>2161</v>
      </c>
      <c r="Y29" s="62">
        <v>26</v>
      </c>
      <c r="AA29" s="62">
        <v>1178</v>
      </c>
      <c r="AC29" s="62">
        <v>1435</v>
      </c>
      <c r="AE29" s="62">
        <v>893</v>
      </c>
      <c r="AG29" s="62">
        <v>27</v>
      </c>
      <c r="AI29" s="62">
        <v>741</v>
      </c>
      <c r="AK29" s="62">
        <v>1435</v>
      </c>
      <c r="AM29" s="62">
        <f>3266</f>
        <v>3266</v>
      </c>
    </row>
    <row r="30" spans="1:41"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O30" s="58"/>
      <c r="Q30" s="58"/>
      <c r="S30" s="58"/>
      <c r="U30" s="58"/>
      <c r="W30" s="58"/>
      <c r="Y30" s="58"/>
      <c r="AA30" s="58"/>
      <c r="AC30" s="58"/>
      <c r="AE30" s="58"/>
      <c r="AG30" s="58"/>
      <c r="AI30" s="58"/>
      <c r="AK30" s="58"/>
    </row>
    <row r="31" spans="1:41" ht="15">
      <c r="A31" s="60" t="s">
        <v>18</v>
      </c>
      <c r="C31" s="61">
        <f>C27-C29</f>
        <v>-959</v>
      </c>
      <c r="D31" s="61">
        <f>D27-D29</f>
        <v>-2316</v>
      </c>
      <c r="E31" s="61">
        <f>E27-E29</f>
        <v>2689</v>
      </c>
      <c r="F31" s="61">
        <f>F27-F29</f>
        <v>6302</v>
      </c>
      <c r="G31" s="61">
        <f t="shared" ref="G31:AM31" si="6">G27-G29</f>
        <v>155</v>
      </c>
      <c r="H31" s="61">
        <f t="shared" si="6"/>
        <v>-8250</v>
      </c>
      <c r="I31" s="61">
        <f t="shared" si="6"/>
        <v>-11865</v>
      </c>
      <c r="J31" s="61">
        <f t="shared" si="6"/>
        <v>-19063</v>
      </c>
      <c r="K31" s="61">
        <f t="shared" si="6"/>
        <v>-24166</v>
      </c>
      <c r="L31" s="61">
        <f t="shared" si="6"/>
        <v>-5098</v>
      </c>
      <c r="M31" s="61">
        <f t="shared" si="6"/>
        <v>139</v>
      </c>
      <c r="O31" s="61">
        <f t="shared" si="6"/>
        <v>-1684</v>
      </c>
      <c r="Q31" s="61">
        <f t="shared" si="6"/>
        <v>5435</v>
      </c>
      <c r="S31" s="61">
        <f t="shared" si="6"/>
        <v>3593</v>
      </c>
      <c r="U31" s="61">
        <f t="shared" si="6"/>
        <v>434</v>
      </c>
      <c r="W31" s="61">
        <f t="shared" si="6"/>
        <v>6518</v>
      </c>
      <c r="Y31" s="61">
        <f t="shared" si="6"/>
        <v>9924</v>
      </c>
      <c r="AA31" s="61">
        <f t="shared" si="6"/>
        <v>10126</v>
      </c>
      <c r="AC31" s="61">
        <f t="shared" si="6"/>
        <v>5751</v>
      </c>
      <c r="AE31" s="61">
        <f t="shared" si="6"/>
        <v>12566</v>
      </c>
      <c r="AG31" s="61">
        <f t="shared" si="6"/>
        <v>12674</v>
      </c>
      <c r="AI31" s="61">
        <f t="shared" si="6"/>
        <v>12602</v>
      </c>
      <c r="AK31" s="61">
        <f t="shared" si="6"/>
        <v>-4848</v>
      </c>
      <c r="AM31" s="61">
        <f t="shared" si="6"/>
        <v>2786</v>
      </c>
    </row>
    <row r="32" spans="1:41">
      <c r="C32" s="58"/>
      <c r="D32" s="58"/>
      <c r="E32" s="58"/>
      <c r="F32" s="58"/>
    </row>
    <row r="33" spans="1:41">
      <c r="A33" s="7" t="s">
        <v>19</v>
      </c>
      <c r="C33" s="58"/>
      <c r="D33" s="58"/>
      <c r="E33" s="58"/>
      <c r="F33" s="58"/>
      <c r="AO33" s="58"/>
    </row>
    <row r="34" spans="1:41">
      <c r="A34" s="7" t="s">
        <v>20</v>
      </c>
      <c r="C34" s="58">
        <v>-8025</v>
      </c>
      <c r="D34" s="58">
        <v>106</v>
      </c>
      <c r="E34" s="58">
        <v>-965</v>
      </c>
      <c r="F34" s="58">
        <v>-70</v>
      </c>
      <c r="G34" s="58">
        <v>-76</v>
      </c>
      <c r="H34" s="58">
        <v>-1338</v>
      </c>
      <c r="I34" s="58">
        <v>344</v>
      </c>
      <c r="J34" s="58">
        <v>-17432</v>
      </c>
      <c r="K34" s="58">
        <v>-4788</v>
      </c>
      <c r="L34" s="58">
        <v>3070</v>
      </c>
      <c r="M34" s="58">
        <v>0</v>
      </c>
      <c r="O34" s="58">
        <v>0</v>
      </c>
      <c r="Q34" s="58">
        <v>0</v>
      </c>
      <c r="S34" s="58">
        <v>0</v>
      </c>
      <c r="U34" s="58">
        <v>0</v>
      </c>
      <c r="W34" s="58">
        <v>0</v>
      </c>
      <c r="Y34" s="58">
        <v>0</v>
      </c>
      <c r="AA34" s="58">
        <v>0</v>
      </c>
      <c r="AC34" s="58">
        <v>0</v>
      </c>
      <c r="AE34" s="58">
        <v>0</v>
      </c>
      <c r="AG34" s="58">
        <v>0</v>
      </c>
      <c r="AI34" s="58">
        <v>0</v>
      </c>
      <c r="AK34" s="58">
        <v>0</v>
      </c>
      <c r="AM34" s="58">
        <v>255</v>
      </c>
    </row>
    <row r="35" spans="1:41">
      <c r="A35" s="7" t="s">
        <v>21</v>
      </c>
      <c r="C35" s="58">
        <v>0</v>
      </c>
      <c r="D35" s="58">
        <v>0</v>
      </c>
      <c r="E35" s="58">
        <v>0</v>
      </c>
      <c r="F35" s="58">
        <v>0</v>
      </c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80</v>
      </c>
      <c r="O35" s="58">
        <v>-51</v>
      </c>
      <c r="Q35" s="58">
        <v>-22</v>
      </c>
      <c r="S35" s="58">
        <v>14</v>
      </c>
      <c r="U35" s="58">
        <v>-403</v>
      </c>
      <c r="W35" s="58">
        <v>-22</v>
      </c>
      <c r="Y35" s="58">
        <v>-220</v>
      </c>
      <c r="AA35" s="58">
        <v>205</v>
      </c>
      <c r="AC35" s="58">
        <v>-114</v>
      </c>
      <c r="AE35" s="58">
        <v>53</v>
      </c>
      <c r="AG35" s="58">
        <v>761</v>
      </c>
      <c r="AI35" s="58">
        <v>-92</v>
      </c>
      <c r="AK35" s="58">
        <v>-77</v>
      </c>
      <c r="AM35" s="58">
        <v>-1073</v>
      </c>
    </row>
    <row r="36" spans="1:41">
      <c r="A36" s="7" t="s">
        <v>22</v>
      </c>
      <c r="C36" s="58">
        <v>0</v>
      </c>
      <c r="D36" s="58">
        <v>0</v>
      </c>
      <c r="E36" s="58">
        <v>0</v>
      </c>
      <c r="F36" s="58">
        <v>0</v>
      </c>
      <c r="G36" s="58">
        <v>0</v>
      </c>
      <c r="H36" s="58">
        <v>0</v>
      </c>
      <c r="I36" s="58">
        <v>0</v>
      </c>
      <c r="J36" s="58">
        <v>-222</v>
      </c>
      <c r="K36" s="58">
        <v>332</v>
      </c>
      <c r="L36" s="58">
        <v>-150</v>
      </c>
      <c r="M36" s="58">
        <v>0</v>
      </c>
      <c r="O36" s="58">
        <v>30</v>
      </c>
      <c r="Q36" s="58">
        <v>-397</v>
      </c>
      <c r="S36" s="58">
        <v>-287</v>
      </c>
      <c r="U36" s="58">
        <v>-1559</v>
      </c>
      <c r="W36" s="58">
        <v>-536</v>
      </c>
      <c r="Y36" s="58">
        <v>450</v>
      </c>
      <c r="AA36" s="58">
        <v>-1294</v>
      </c>
      <c r="AC36" s="58">
        <v>-699</v>
      </c>
      <c r="AE36" s="58">
        <v>-379</v>
      </c>
      <c r="AG36" s="58">
        <v>-399</v>
      </c>
      <c r="AI36" s="58">
        <v>57</v>
      </c>
      <c r="AK36" s="58">
        <v>167</v>
      </c>
      <c r="AM36" s="58">
        <v>0</v>
      </c>
    </row>
    <row r="37" spans="1:41">
      <c r="A37" s="7" t="s">
        <v>23</v>
      </c>
      <c r="C37" s="63">
        <f>SUM(C34:C36)</f>
        <v>-8025</v>
      </c>
      <c r="D37" s="63">
        <f>SUM(D34:D36)</f>
        <v>106</v>
      </c>
      <c r="E37" s="63">
        <f>SUM(E34:E36)</f>
        <v>-965</v>
      </c>
      <c r="F37" s="63">
        <f>SUM(F34:F36)</f>
        <v>-70</v>
      </c>
      <c r="G37" s="63">
        <f t="shared" ref="G37:S37" si="7">SUM(G34:G36)</f>
        <v>-76</v>
      </c>
      <c r="H37" s="63">
        <f t="shared" si="7"/>
        <v>-1338</v>
      </c>
      <c r="I37" s="63">
        <f t="shared" si="7"/>
        <v>344</v>
      </c>
      <c r="J37" s="63">
        <f t="shared" si="7"/>
        <v>-17654</v>
      </c>
      <c r="K37" s="63">
        <f t="shared" si="7"/>
        <v>-4456</v>
      </c>
      <c r="L37" s="63">
        <f t="shared" si="7"/>
        <v>2920</v>
      </c>
      <c r="M37" s="63">
        <f t="shared" si="7"/>
        <v>80</v>
      </c>
      <c r="O37" s="63">
        <f t="shared" si="7"/>
        <v>-21</v>
      </c>
      <c r="Q37" s="63">
        <f t="shared" si="7"/>
        <v>-419</v>
      </c>
      <c r="S37" s="63">
        <f t="shared" si="7"/>
        <v>-273</v>
      </c>
      <c r="U37" s="63">
        <f>SUM(U34:U36)</f>
        <v>-1962</v>
      </c>
      <c r="W37" s="63">
        <f>SUM(W34:W36)</f>
        <v>-558</v>
      </c>
      <c r="Y37" s="63">
        <f>SUM(Y34:Y36)</f>
        <v>230</v>
      </c>
      <c r="AA37" s="63">
        <f>SUM(AA34:AA36)</f>
        <v>-1089</v>
      </c>
      <c r="AC37" s="63">
        <f>SUM(AC34:AC36)</f>
        <v>-813</v>
      </c>
      <c r="AE37" s="63">
        <f>SUM(AE34:AE36)</f>
        <v>-326</v>
      </c>
      <c r="AG37" s="63">
        <f>SUM(AG34:AG36)</f>
        <v>362</v>
      </c>
      <c r="AI37" s="63">
        <f>SUM(AI34:AI36)</f>
        <v>-35</v>
      </c>
      <c r="AK37" s="63">
        <f>SUM(AK34:AK36)</f>
        <v>90</v>
      </c>
      <c r="AM37" s="63">
        <f>SUM(AM34:AM36)</f>
        <v>-818</v>
      </c>
    </row>
    <row r="38" spans="1:41">
      <c r="C38" s="58"/>
      <c r="D38" s="58"/>
      <c r="E38" s="58"/>
      <c r="F38" s="58"/>
    </row>
    <row r="39" spans="1:41">
      <c r="A39" s="7" t="s">
        <v>24</v>
      </c>
      <c r="C39" s="58">
        <v>-71</v>
      </c>
      <c r="D39" s="58">
        <v>0</v>
      </c>
      <c r="E39" s="58">
        <v>0</v>
      </c>
      <c r="F39" s="58">
        <v>0</v>
      </c>
      <c r="G39" s="58">
        <v>0</v>
      </c>
      <c r="H39" s="58">
        <v>0</v>
      </c>
      <c r="I39" s="58">
        <v>0</v>
      </c>
      <c r="J39" s="58">
        <v>0</v>
      </c>
      <c r="K39" s="58">
        <v>0</v>
      </c>
      <c r="L39" s="58">
        <v>-57</v>
      </c>
      <c r="M39" s="58">
        <v>221</v>
      </c>
      <c r="O39" s="58">
        <v>608</v>
      </c>
      <c r="Q39" s="58">
        <v>423</v>
      </c>
      <c r="S39" s="58">
        <v>306</v>
      </c>
      <c r="U39" s="58">
        <v>0</v>
      </c>
      <c r="W39" s="58">
        <v>0</v>
      </c>
      <c r="Y39" s="58">
        <v>0</v>
      </c>
      <c r="AA39" s="58">
        <v>0</v>
      </c>
      <c r="AC39" s="58">
        <v>0</v>
      </c>
      <c r="AE39" s="58">
        <v>0</v>
      </c>
      <c r="AG39" s="58">
        <v>-117</v>
      </c>
      <c r="AI39" s="58">
        <v>-286</v>
      </c>
      <c r="AK39" s="58">
        <v>-6448</v>
      </c>
      <c r="AM39" s="58">
        <v>0</v>
      </c>
    </row>
    <row r="40" spans="1:41"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O40" s="58"/>
      <c r="Q40" s="58"/>
      <c r="S40" s="58"/>
      <c r="U40" s="58"/>
      <c r="W40" s="58"/>
      <c r="Y40" s="58"/>
      <c r="AA40" s="58"/>
      <c r="AC40" s="58"/>
      <c r="AE40" s="58"/>
      <c r="AG40" s="58"/>
      <c r="AI40" s="58"/>
      <c r="AK40" s="58"/>
      <c r="AM40" s="58"/>
    </row>
    <row r="41" spans="1:41">
      <c r="A41" s="7" t="s">
        <v>25</v>
      </c>
      <c r="C41" s="59">
        <f>C37+C39</f>
        <v>-8096</v>
      </c>
      <c r="D41" s="59">
        <f>D37+D39</f>
        <v>106</v>
      </c>
      <c r="E41" s="59">
        <f>E37+E39</f>
        <v>-965</v>
      </c>
      <c r="F41" s="59">
        <f>F37+F39</f>
        <v>-70</v>
      </c>
      <c r="G41" s="59">
        <f t="shared" ref="G41:AK41" si="8">G37+G39</f>
        <v>-76</v>
      </c>
      <c r="H41" s="59">
        <f t="shared" si="8"/>
        <v>-1338</v>
      </c>
      <c r="I41" s="59">
        <f t="shared" si="8"/>
        <v>344</v>
      </c>
      <c r="J41" s="59">
        <f t="shared" si="8"/>
        <v>-17654</v>
      </c>
      <c r="K41" s="59">
        <f t="shared" si="8"/>
        <v>-4456</v>
      </c>
      <c r="L41" s="59">
        <f t="shared" si="8"/>
        <v>2863</v>
      </c>
      <c r="M41" s="59">
        <f t="shared" si="8"/>
        <v>301</v>
      </c>
      <c r="O41" s="59">
        <f t="shared" si="8"/>
        <v>587</v>
      </c>
      <c r="Q41" s="59">
        <f t="shared" si="8"/>
        <v>4</v>
      </c>
      <c r="S41" s="59">
        <f t="shared" si="8"/>
        <v>33</v>
      </c>
      <c r="U41" s="59">
        <f t="shared" si="8"/>
        <v>-1962</v>
      </c>
      <c r="W41" s="59">
        <f t="shared" si="8"/>
        <v>-558</v>
      </c>
      <c r="Y41" s="59">
        <f t="shared" si="8"/>
        <v>230</v>
      </c>
      <c r="AA41" s="59">
        <f t="shared" si="8"/>
        <v>-1089</v>
      </c>
      <c r="AC41" s="59">
        <f t="shared" si="8"/>
        <v>-813</v>
      </c>
      <c r="AE41" s="59">
        <f t="shared" si="8"/>
        <v>-326</v>
      </c>
      <c r="AG41" s="59">
        <f t="shared" si="8"/>
        <v>245</v>
      </c>
      <c r="AI41" s="59">
        <f t="shared" si="8"/>
        <v>-321</v>
      </c>
      <c r="AK41" s="59">
        <f t="shared" si="8"/>
        <v>-6358</v>
      </c>
      <c r="AM41" s="59">
        <f>AM37+AM39</f>
        <v>-818</v>
      </c>
    </row>
    <row r="42" spans="1:41"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O42" s="58"/>
      <c r="Q42" s="58"/>
      <c r="S42" s="58"/>
      <c r="U42" s="58"/>
      <c r="W42" s="58"/>
      <c r="Y42" s="58"/>
      <c r="AA42" s="58"/>
      <c r="AC42" s="58"/>
      <c r="AE42" s="58"/>
      <c r="AG42" s="58"/>
      <c r="AI42" s="58"/>
      <c r="AK42" s="58"/>
      <c r="AM42" s="58"/>
    </row>
    <row r="43" spans="1:41" ht="15">
      <c r="A43" s="60" t="s">
        <v>26</v>
      </c>
      <c r="C43" s="61">
        <f>C31+C41</f>
        <v>-9055</v>
      </c>
      <c r="D43" s="61">
        <f>D31+D41</f>
        <v>-2210</v>
      </c>
      <c r="E43" s="61">
        <f>E31+E41</f>
        <v>1724</v>
      </c>
      <c r="F43" s="61">
        <f>F31+F41</f>
        <v>6232</v>
      </c>
      <c r="G43" s="61">
        <f t="shared" ref="G43:AK43" si="9">G31+G41</f>
        <v>79</v>
      </c>
      <c r="H43" s="61">
        <f t="shared" si="9"/>
        <v>-9588</v>
      </c>
      <c r="I43" s="61">
        <f t="shared" si="9"/>
        <v>-11521</v>
      </c>
      <c r="J43" s="61">
        <f t="shared" si="9"/>
        <v>-36717</v>
      </c>
      <c r="K43" s="61">
        <f t="shared" si="9"/>
        <v>-28622</v>
      </c>
      <c r="L43" s="61">
        <f t="shared" si="9"/>
        <v>-2235</v>
      </c>
      <c r="M43" s="61">
        <f t="shared" si="9"/>
        <v>440</v>
      </c>
      <c r="O43" s="61">
        <f t="shared" si="9"/>
        <v>-1097</v>
      </c>
      <c r="Q43" s="61">
        <f t="shared" si="9"/>
        <v>5439</v>
      </c>
      <c r="S43" s="61">
        <f t="shared" si="9"/>
        <v>3626</v>
      </c>
      <c r="U43" s="61">
        <f t="shared" si="9"/>
        <v>-1528</v>
      </c>
      <c r="W43" s="61">
        <f t="shared" si="9"/>
        <v>5960</v>
      </c>
      <c r="Y43" s="61">
        <f t="shared" si="9"/>
        <v>10154</v>
      </c>
      <c r="AA43" s="61">
        <f t="shared" si="9"/>
        <v>9037</v>
      </c>
      <c r="AC43" s="61">
        <f t="shared" si="9"/>
        <v>4938</v>
      </c>
      <c r="AE43" s="61">
        <f t="shared" si="9"/>
        <v>12240</v>
      </c>
      <c r="AG43" s="61">
        <f t="shared" si="9"/>
        <v>12919</v>
      </c>
      <c r="AI43" s="61">
        <f t="shared" si="9"/>
        <v>12281</v>
      </c>
      <c r="AK43" s="61">
        <f t="shared" si="9"/>
        <v>-11206</v>
      </c>
      <c r="AM43" s="61">
        <f>AM31+AM41</f>
        <v>1968</v>
      </c>
    </row>
    <row r="44" spans="1:41">
      <c r="C44" s="58"/>
      <c r="D44" s="58"/>
      <c r="E44" s="58"/>
      <c r="F44" s="58"/>
    </row>
    <row r="45" spans="1:41">
      <c r="A45" s="7" t="s">
        <v>27</v>
      </c>
      <c r="C45" s="58">
        <v>363</v>
      </c>
      <c r="D45" s="58">
        <v>-10395</v>
      </c>
      <c r="E45" s="58">
        <v>-4979</v>
      </c>
      <c r="F45" s="58">
        <v>0</v>
      </c>
      <c r="G45" s="58">
        <v>0</v>
      </c>
      <c r="H45" s="58">
        <v>0</v>
      </c>
      <c r="I45" s="58">
        <v>-753</v>
      </c>
      <c r="J45" s="58">
        <v>-4599</v>
      </c>
      <c r="K45" s="58">
        <v>-667</v>
      </c>
      <c r="L45" s="58">
        <v>2981</v>
      </c>
      <c r="M45" s="58">
        <v>-317</v>
      </c>
      <c r="O45" s="58">
        <v>-752</v>
      </c>
      <c r="Q45" s="58">
        <v>1387</v>
      </c>
      <c r="S45" s="58">
        <v>1513</v>
      </c>
      <c r="U45" s="58">
        <v>12</v>
      </c>
      <c r="W45" s="58">
        <v>2418</v>
      </c>
      <c r="Y45" s="58">
        <v>4659</v>
      </c>
      <c r="AA45" s="58">
        <v>2990</v>
      </c>
      <c r="AC45" s="58">
        <v>2214</v>
      </c>
      <c r="AE45" s="58">
        <v>4483</v>
      </c>
      <c r="AG45" s="58">
        <v>4637</v>
      </c>
      <c r="AI45" s="58">
        <v>2609</v>
      </c>
      <c r="AK45" s="58">
        <v>-1181</v>
      </c>
      <c r="AM45" s="58">
        <v>10</v>
      </c>
      <c r="AO45" s="58"/>
    </row>
    <row r="46" spans="1:41">
      <c r="C46" s="58"/>
      <c r="D46" s="58"/>
      <c r="E46" s="58"/>
      <c r="F46" s="58"/>
    </row>
    <row r="47" spans="1:41" ht="15.75" thickBot="1">
      <c r="A47" s="60" t="s">
        <v>28</v>
      </c>
      <c r="B47" s="60"/>
      <c r="C47" s="64">
        <f>C43-C45</f>
        <v>-9418</v>
      </c>
      <c r="D47" s="64">
        <f>D43-D45</f>
        <v>8185</v>
      </c>
      <c r="E47" s="64">
        <f>E43-E45</f>
        <v>6703</v>
      </c>
      <c r="F47" s="64">
        <f>F43-F45</f>
        <v>6232</v>
      </c>
      <c r="G47" s="64">
        <f t="shared" ref="G47:AK47" si="10">G43-G45</f>
        <v>79</v>
      </c>
      <c r="H47" s="64">
        <f t="shared" si="10"/>
        <v>-9588</v>
      </c>
      <c r="I47" s="64">
        <f t="shared" si="10"/>
        <v>-10768</v>
      </c>
      <c r="J47" s="64">
        <f t="shared" si="10"/>
        <v>-32118</v>
      </c>
      <c r="K47" s="64">
        <f t="shared" si="10"/>
        <v>-27955</v>
      </c>
      <c r="L47" s="64">
        <f t="shared" si="10"/>
        <v>-5216</v>
      </c>
      <c r="M47" s="64">
        <f t="shared" si="10"/>
        <v>757</v>
      </c>
      <c r="O47" s="64">
        <f t="shared" si="10"/>
        <v>-345</v>
      </c>
      <c r="Q47" s="64">
        <f t="shared" si="10"/>
        <v>4052</v>
      </c>
      <c r="S47" s="64">
        <f t="shared" si="10"/>
        <v>2113</v>
      </c>
      <c r="U47" s="64">
        <f t="shared" si="10"/>
        <v>-1540</v>
      </c>
      <c r="W47" s="64">
        <f t="shared" si="10"/>
        <v>3542</v>
      </c>
      <c r="Y47" s="64">
        <f t="shared" si="10"/>
        <v>5495</v>
      </c>
      <c r="AA47" s="64">
        <f t="shared" si="10"/>
        <v>6047</v>
      </c>
      <c r="AC47" s="64">
        <f t="shared" si="10"/>
        <v>2724</v>
      </c>
      <c r="AE47" s="64">
        <f t="shared" si="10"/>
        <v>7757</v>
      </c>
      <c r="AG47" s="64">
        <f t="shared" si="10"/>
        <v>8282</v>
      </c>
      <c r="AI47" s="64">
        <f t="shared" si="10"/>
        <v>9672</v>
      </c>
      <c r="AK47" s="64">
        <f t="shared" si="10"/>
        <v>-10025</v>
      </c>
      <c r="AM47" s="64">
        <f>AM43-AM45</f>
        <v>1958</v>
      </c>
    </row>
    <row r="48" spans="1:41" ht="15" thickTop="1"/>
    <row r="49" spans="1:39" ht="15.75" thickBot="1">
      <c r="A49" s="60" t="s">
        <v>151</v>
      </c>
      <c r="B49" s="60"/>
      <c r="C49" s="65">
        <v>-0.06</v>
      </c>
      <c r="D49" s="65">
        <v>7.0000274387905001E-2</v>
      </c>
      <c r="E49" s="65">
        <v>9.0000352784449303E-2</v>
      </c>
      <c r="F49" s="65">
        <v>0.130000509577538</v>
      </c>
      <c r="G49" s="65">
        <v>0</v>
      </c>
      <c r="H49" s="65">
        <v>-0.25000097995680398</v>
      </c>
      <c r="I49" s="65">
        <v>-0.58000227349978395</v>
      </c>
      <c r="J49" s="65">
        <v>-2.17000850602505</v>
      </c>
      <c r="K49" s="65">
        <v>-1.9200075260682501</v>
      </c>
      <c r="L49" s="65">
        <v>-0.36000141113779699</v>
      </c>
      <c r="M49" s="65">
        <v>7.0000274387905001E-2</v>
      </c>
      <c r="O49" s="65">
        <v>-3.0000117594816401E-2</v>
      </c>
      <c r="Q49" s="65">
        <v>0.41000160712915801</v>
      </c>
      <c r="S49" s="65">
        <v>0.21000082316371499</v>
      </c>
      <c r="U49" s="65">
        <v>-0.20000078396544299</v>
      </c>
      <c r="W49" s="65">
        <v>0.32377701946516801</v>
      </c>
      <c r="Y49" s="65">
        <v>0.55378535707995902</v>
      </c>
      <c r="AA49" s="65">
        <v>0.63577997982555001</v>
      </c>
      <c r="AC49" s="65">
        <v>0.27549713827309102</v>
      </c>
      <c r="AE49" s="65">
        <v>0.80538184004810598</v>
      </c>
      <c r="AG49" s="65">
        <v>0.87482037883736097</v>
      </c>
      <c r="AI49" s="65">
        <v>1.02330957372467</v>
      </c>
      <c r="AK49" s="65">
        <v>-1.0488469860896401</v>
      </c>
      <c r="AM49" s="65">
        <f>0.450622429906542</f>
        <v>0.450622429906542</v>
      </c>
    </row>
    <row r="50" spans="1:39" ht="15" thickTop="1"/>
    <row r="53" spans="1:39" ht="28.5">
      <c r="A53" s="55" t="s">
        <v>29</v>
      </c>
      <c r="B53" s="55"/>
      <c r="C53" s="56">
        <v>2016</v>
      </c>
      <c r="D53" s="56">
        <f t="shared" ref="D53:M53" si="11">C53-1</f>
        <v>2015</v>
      </c>
      <c r="E53" s="56">
        <f t="shared" si="11"/>
        <v>2014</v>
      </c>
      <c r="F53" s="56">
        <f t="shared" si="11"/>
        <v>2013</v>
      </c>
      <c r="G53" s="56">
        <f t="shared" si="11"/>
        <v>2012</v>
      </c>
      <c r="H53" s="56">
        <f t="shared" si="11"/>
        <v>2011</v>
      </c>
      <c r="I53" s="56">
        <f t="shared" si="11"/>
        <v>2010</v>
      </c>
      <c r="J53" s="56">
        <f t="shared" si="11"/>
        <v>2009</v>
      </c>
      <c r="K53" s="56">
        <f t="shared" si="11"/>
        <v>2008</v>
      </c>
      <c r="L53" s="56">
        <f t="shared" si="11"/>
        <v>2007</v>
      </c>
      <c r="M53" s="56">
        <f t="shared" si="11"/>
        <v>2006</v>
      </c>
      <c r="N53" s="57"/>
      <c r="O53" s="56">
        <f>M53-1</f>
        <v>2005</v>
      </c>
      <c r="P53" s="57"/>
      <c r="Q53" s="56">
        <f>O53-1</f>
        <v>2004</v>
      </c>
      <c r="R53" s="57"/>
      <c r="S53" s="56">
        <f>Q53-1</f>
        <v>2003</v>
      </c>
      <c r="T53" s="57"/>
      <c r="U53" s="56">
        <f>S53-1</f>
        <v>2002</v>
      </c>
      <c r="V53" s="57"/>
      <c r="W53" s="56">
        <f>U53-1</f>
        <v>2001</v>
      </c>
      <c r="X53" s="57"/>
      <c r="Y53" s="56">
        <f>W53-1</f>
        <v>2000</v>
      </c>
      <c r="Z53" s="57"/>
      <c r="AA53" s="56">
        <f>Y53-1</f>
        <v>1999</v>
      </c>
      <c r="AB53" s="57"/>
      <c r="AC53" s="56">
        <f>AA53-1</f>
        <v>1998</v>
      </c>
      <c r="AD53" s="57"/>
      <c r="AE53" s="56">
        <f>AC53-1</f>
        <v>1997</v>
      </c>
      <c r="AF53" s="57"/>
      <c r="AG53" s="56">
        <f>AE53-1</f>
        <v>1996</v>
      </c>
      <c r="AH53" s="57"/>
      <c r="AI53" s="56">
        <f>AG53-1</f>
        <v>1995</v>
      </c>
      <c r="AJ53" s="57"/>
      <c r="AK53" s="56">
        <f>AI53-1</f>
        <v>1994</v>
      </c>
      <c r="AM53" s="56">
        <v>1993</v>
      </c>
    </row>
    <row r="55" spans="1:39">
      <c r="A55" s="7" t="s">
        <v>148</v>
      </c>
    </row>
    <row r="56" spans="1:39">
      <c r="A56" s="7" t="s">
        <v>0</v>
      </c>
    </row>
    <row r="57" spans="1:39">
      <c r="A57" s="7" t="s">
        <v>1</v>
      </c>
    </row>
    <row r="58" spans="1:39">
      <c r="A58" s="7" t="s">
        <v>149</v>
      </c>
    </row>
    <row r="59" spans="1:39">
      <c r="A59" s="7" t="s">
        <v>19</v>
      </c>
    </row>
    <row r="60" spans="1:39">
      <c r="A60" s="7" t="s">
        <v>2</v>
      </c>
      <c r="C60" s="66">
        <f t="shared" ref="C60:M60" si="12">C8/C$8</f>
        <v>1</v>
      </c>
      <c r="D60" s="66">
        <f t="shared" si="12"/>
        <v>1</v>
      </c>
      <c r="E60" s="66">
        <f t="shared" si="12"/>
        <v>1</v>
      </c>
      <c r="F60" s="66">
        <f t="shared" si="12"/>
        <v>1</v>
      </c>
      <c r="G60" s="66">
        <f t="shared" si="12"/>
        <v>1</v>
      </c>
      <c r="H60" s="66">
        <f t="shared" si="12"/>
        <v>1</v>
      </c>
      <c r="I60" s="66">
        <f t="shared" si="12"/>
        <v>1</v>
      </c>
      <c r="J60" s="66">
        <f t="shared" si="12"/>
        <v>1</v>
      </c>
      <c r="K60" s="66">
        <f t="shared" si="12"/>
        <v>1</v>
      </c>
      <c r="L60" s="66">
        <f t="shared" si="12"/>
        <v>1</v>
      </c>
      <c r="M60" s="66">
        <f t="shared" si="12"/>
        <v>1</v>
      </c>
      <c r="O60" s="66">
        <f>O8/O$8</f>
        <v>1</v>
      </c>
      <c r="Q60" s="66">
        <f>Q8/Q$8</f>
        <v>1</v>
      </c>
      <c r="S60" s="66">
        <f>S8/S$8</f>
        <v>1</v>
      </c>
      <c r="U60" s="66">
        <f>U8/U$8</f>
        <v>1</v>
      </c>
      <c r="W60" s="66">
        <f>W8/W$8</f>
        <v>1</v>
      </c>
      <c r="Y60" s="66">
        <f>Y8/Y$8</f>
        <v>1</v>
      </c>
      <c r="AA60" s="66">
        <f>AA8/AA$8</f>
        <v>1</v>
      </c>
      <c r="AC60" s="66">
        <f>AC8/AC$8</f>
        <v>1</v>
      </c>
      <c r="AE60" s="66">
        <f>AE8/AE$8</f>
        <v>1</v>
      </c>
      <c r="AG60" s="66">
        <f>AG8/AG$8</f>
        <v>1</v>
      </c>
      <c r="AI60" s="66">
        <f>AI8/AI$8</f>
        <v>1</v>
      </c>
      <c r="AK60" s="66">
        <f>AK8/AK$8</f>
        <v>1</v>
      </c>
      <c r="AM60" s="66">
        <f>AM8/AM$8</f>
        <v>1</v>
      </c>
    </row>
    <row r="62" spans="1:39">
      <c r="A62" s="7" t="s">
        <v>150</v>
      </c>
    </row>
    <row r="63" spans="1:39">
      <c r="A63" s="7" t="s">
        <v>3</v>
      </c>
    </row>
    <row r="64" spans="1:39">
      <c r="A64" s="7" t="s">
        <v>4</v>
      </c>
    </row>
    <row r="65" spans="1:39">
      <c r="A65" s="7" t="s">
        <v>5</v>
      </c>
    </row>
    <row r="66" spans="1:39">
      <c r="A66" s="7" t="s">
        <v>6</v>
      </c>
    </row>
    <row r="67" spans="1:39">
      <c r="A67" s="7" t="s">
        <v>7</v>
      </c>
    </row>
    <row r="68" spans="1:39">
      <c r="A68" s="7" t="s">
        <v>8</v>
      </c>
    </row>
    <row r="69" spans="1:39">
      <c r="A69" s="7" t="s">
        <v>9</v>
      </c>
      <c r="C69" s="67">
        <f t="shared" ref="C69:M69" si="13">C17/C$8</f>
        <v>0.85371597512488528</v>
      </c>
      <c r="D69" s="67">
        <f t="shared" si="13"/>
        <v>0.84217130952308428</v>
      </c>
      <c r="E69" s="67">
        <f t="shared" si="13"/>
        <v>0.8371432337048047</v>
      </c>
      <c r="F69" s="67">
        <f t="shared" si="13"/>
        <v>0.83817691329072208</v>
      </c>
      <c r="G69" s="67">
        <f t="shared" si="13"/>
        <v>0.83633196630947659</v>
      </c>
      <c r="H69" s="67">
        <f t="shared" si="13"/>
        <v>0.8774759715837861</v>
      </c>
      <c r="I69" s="67">
        <f t="shared" si="13"/>
        <v>0.86754572989394507</v>
      </c>
      <c r="J69" s="67">
        <f t="shared" si="13"/>
        <v>0.93087162485620578</v>
      </c>
      <c r="K69" s="67">
        <f t="shared" si="13"/>
        <v>0.91871173834733932</v>
      </c>
      <c r="L69" s="67">
        <f t="shared" si="13"/>
        <v>0.85867930370927426</v>
      </c>
      <c r="M69" s="67">
        <f t="shared" si="13"/>
        <v>0.83839357589370012</v>
      </c>
      <c r="O69" s="67">
        <f>O17/O$8</f>
        <v>0.83849258253121817</v>
      </c>
      <c r="Q69" s="67">
        <f>Q17/Q$8</f>
        <v>0.74604362574087713</v>
      </c>
      <c r="S69" s="67">
        <f>S17/S$8</f>
        <v>0.82556303806211306</v>
      </c>
      <c r="U69" s="67">
        <f>U17/U$8</f>
        <v>0.81151615020832502</v>
      </c>
      <c r="W69" s="67">
        <f>W17/W$8</f>
        <v>0.77992059631937927</v>
      </c>
      <c r="Y69" s="67">
        <f>Y17/Y$8</f>
        <v>0.77063943419626602</v>
      </c>
      <c r="AA69" s="67">
        <f>AA17/AA$8</f>
        <v>0.75927420284508795</v>
      </c>
      <c r="AC69" s="67">
        <f>AC17/AC$8</f>
        <v>0.75859500027592297</v>
      </c>
      <c r="AE69" s="67">
        <f>AE17/AE$8</f>
        <v>0.74752266611914975</v>
      </c>
      <c r="AG69" s="67">
        <f>AG17/AG$8</f>
        <v>0.74846367165834715</v>
      </c>
      <c r="AI69" s="67">
        <f>AI17/AI$8</f>
        <v>0.72699394182145893</v>
      </c>
      <c r="AK69" s="67">
        <f>AK17/AK$8</f>
        <v>0.9270976201600627</v>
      </c>
      <c r="AM69" s="67">
        <f>AM17/AM$8</f>
        <v>0.86714901640907216</v>
      </c>
    </row>
    <row r="71" spans="1:39" ht="15">
      <c r="A71" s="60" t="s">
        <v>10</v>
      </c>
      <c r="C71" s="12">
        <f t="shared" ref="C71:M71" si="14">C60-C69</f>
        <v>0.14628402487511472</v>
      </c>
      <c r="D71" s="12">
        <f t="shared" si="14"/>
        <v>0.15782869047691572</v>
      </c>
      <c r="E71" s="12">
        <f t="shared" si="14"/>
        <v>0.1628567662951953</v>
      </c>
      <c r="F71" s="12">
        <f t="shared" si="14"/>
        <v>0.16182308670927792</v>
      </c>
      <c r="G71" s="12">
        <f t="shared" si="14"/>
        <v>0.16366803369052341</v>
      </c>
      <c r="H71" s="12">
        <f t="shared" si="14"/>
        <v>0.1225240284162139</v>
      </c>
      <c r="I71" s="12">
        <f t="shared" si="14"/>
        <v>0.13245427010605493</v>
      </c>
      <c r="J71" s="12">
        <f t="shared" si="14"/>
        <v>6.9128375143794218E-2</v>
      </c>
      <c r="K71" s="12">
        <f t="shared" si="14"/>
        <v>8.1288261652660676E-2</v>
      </c>
      <c r="L71" s="12">
        <f t="shared" si="14"/>
        <v>0.14132069629072574</v>
      </c>
      <c r="M71" s="12">
        <f t="shared" si="14"/>
        <v>0.16160642410629988</v>
      </c>
      <c r="O71" s="12">
        <f>O60-O69</f>
        <v>0.16150741746878183</v>
      </c>
      <c r="Q71" s="12">
        <f>Q60-Q69</f>
        <v>0.25395637425912287</v>
      </c>
      <c r="S71" s="12">
        <f>S60-S69</f>
        <v>0.17443696193788694</v>
      </c>
      <c r="U71" s="12">
        <f>U60-U69</f>
        <v>0.18848384979167498</v>
      </c>
      <c r="W71" s="12">
        <f>W60-W69</f>
        <v>0.22007940368062073</v>
      </c>
      <c r="Y71" s="12">
        <f>Y60-Y69</f>
        <v>0.22936056580373398</v>
      </c>
      <c r="AA71" s="12">
        <f>AA60-AA69</f>
        <v>0.24072579715491205</v>
      </c>
      <c r="AC71" s="12">
        <f>AC60-AC69</f>
        <v>0.24140499972407703</v>
      </c>
      <c r="AE71" s="12">
        <f>AE60-AE69</f>
        <v>0.25247733388085025</v>
      </c>
      <c r="AG71" s="12">
        <f>AG60-AG69</f>
        <v>0.25153632834165285</v>
      </c>
      <c r="AI71" s="12">
        <f>AI60-AI69</f>
        <v>0.27300605817854107</v>
      </c>
      <c r="AK71" s="12">
        <f>AK60-AK69</f>
        <v>7.2902379839937304E-2</v>
      </c>
      <c r="AM71" s="12">
        <f>AM60-AM69</f>
        <v>0.13285098359092784</v>
      </c>
    </row>
    <row r="73" spans="1:39">
      <c r="A73" s="7" t="s">
        <v>11</v>
      </c>
    </row>
    <row r="74" spans="1:39">
      <c r="A74" s="7" t="s">
        <v>12</v>
      </c>
    </row>
    <row r="75" spans="1:39">
      <c r="A75" s="7" t="s">
        <v>13</v>
      </c>
    </row>
    <row r="76" spans="1:39">
      <c r="A76" s="7" t="s">
        <v>14</v>
      </c>
    </row>
    <row r="77" spans="1:39">
      <c r="A77" s="7" t="s">
        <v>15</v>
      </c>
      <c r="C77" s="68">
        <f t="shared" ref="C77:M77" si="15">C25/C$8</f>
        <v>0.11866143337751045</v>
      </c>
      <c r="D77" s="68">
        <f t="shared" si="15"/>
        <v>0.12549418551526265</v>
      </c>
      <c r="E77" s="68">
        <f t="shared" si="15"/>
        <v>0.11305958674418264</v>
      </c>
      <c r="F77" s="68">
        <f t="shared" si="15"/>
        <v>0.10304869637191337</v>
      </c>
      <c r="G77" s="68">
        <f t="shared" si="15"/>
        <v>9.6904352427569784E-2</v>
      </c>
      <c r="H77" s="68">
        <f t="shared" si="15"/>
        <v>0.11628917676556623</v>
      </c>
      <c r="I77" s="68">
        <f t="shared" si="15"/>
        <v>0.13326866941793325</v>
      </c>
      <c r="J77" s="68">
        <f t="shared" si="15"/>
        <v>0.14633780375401015</v>
      </c>
      <c r="K77" s="68">
        <f t="shared" si="15"/>
        <v>0.14461873067194866</v>
      </c>
      <c r="L77" s="68">
        <f t="shared" si="15"/>
        <v>0.11757647475171971</v>
      </c>
      <c r="M77" s="68">
        <f t="shared" si="15"/>
        <v>0.10069468599994037</v>
      </c>
      <c r="O77" s="68">
        <f>O25/O$8</f>
        <v>0.12050172720260255</v>
      </c>
      <c r="Q77" s="68">
        <f>Q25/Q$8</f>
        <v>0.12036310522567328</v>
      </c>
      <c r="S77" s="68">
        <f>S25/S$8</f>
        <v>9.9805125928118604E-2</v>
      </c>
      <c r="U77" s="68">
        <f>U25/U$8</f>
        <v>0.11341987862224187</v>
      </c>
      <c r="W77" s="68">
        <f>W25/W$8</f>
        <v>0.12191066520376885</v>
      </c>
      <c r="Y77" s="68">
        <f>Y25/Y$8</f>
        <v>0.11818862359079786</v>
      </c>
      <c r="AA77" s="68">
        <f>AA25/AA$8</f>
        <v>0.11041431305189865</v>
      </c>
      <c r="AC77" s="68">
        <f>AC25/AC$8</f>
        <v>0.14226587936648089</v>
      </c>
      <c r="AE77" s="68">
        <f>AE25/AE$8</f>
        <v>0.10703595240925448</v>
      </c>
      <c r="AG77" s="68">
        <f>AG25/AG$8</f>
        <v>0.11064891846921797</v>
      </c>
      <c r="AI77" s="68">
        <f>AI25/AI$8</f>
        <v>0.10599309067240775</v>
      </c>
      <c r="AK77" s="68">
        <f>AK25/AK$8</f>
        <v>0.12434249197425734</v>
      </c>
      <c r="AM77" s="68">
        <f>AM25/AM$8</f>
        <v>6.8740134959056773E-2</v>
      </c>
    </row>
    <row r="79" spans="1:39" ht="15">
      <c r="A79" s="60" t="s">
        <v>16</v>
      </c>
      <c r="C79" s="69">
        <f t="shared" ref="C79:M79" si="16">C71-C77</f>
        <v>2.7622591497604265E-2</v>
      </c>
      <c r="D79" s="69">
        <f t="shared" si="16"/>
        <v>3.2334504961653077E-2</v>
      </c>
      <c r="E79" s="69">
        <f t="shared" si="16"/>
        <v>4.9797179551012663E-2</v>
      </c>
      <c r="F79" s="69">
        <f t="shared" si="16"/>
        <v>5.8774390337364549E-2</v>
      </c>
      <c r="G79" s="69">
        <f t="shared" si="16"/>
        <v>6.6763681262953622E-2</v>
      </c>
      <c r="H79" s="69">
        <f t="shared" si="16"/>
        <v>6.2348516506476742E-3</v>
      </c>
      <c r="I79" s="69">
        <f t="shared" si="16"/>
        <v>-8.1439931187832215E-4</v>
      </c>
      <c r="J79" s="69">
        <f t="shared" si="16"/>
        <v>-7.720942861021593E-2</v>
      </c>
      <c r="K79" s="69">
        <f t="shared" si="16"/>
        <v>-6.3330469019287988E-2</v>
      </c>
      <c r="L79" s="69">
        <f t="shared" si="16"/>
        <v>2.374422153900603E-2</v>
      </c>
      <c r="M79" s="69">
        <f t="shared" si="16"/>
        <v>6.0911738106359511E-2</v>
      </c>
      <c r="O79" s="69">
        <f>O71-O77</f>
        <v>4.1005690266179284E-2</v>
      </c>
      <c r="Q79" s="69">
        <f>Q71-Q77</f>
        <v>0.13359326903344959</v>
      </c>
      <c r="S79" s="69">
        <f>S71-S77</f>
        <v>7.4631836009768332E-2</v>
      </c>
      <c r="U79" s="69">
        <f>U71-U77</f>
        <v>7.5063971169433114E-2</v>
      </c>
      <c r="W79" s="69">
        <f>W71-W77</f>
        <v>9.8168738476851883E-2</v>
      </c>
      <c r="Y79" s="69">
        <f>Y71-Y77</f>
        <v>0.11117194221293612</v>
      </c>
      <c r="AA79" s="69">
        <f>AA71-AA77</f>
        <v>0.13031148410301341</v>
      </c>
      <c r="AC79" s="69">
        <f>AC71-AC77</f>
        <v>9.9139120357596144E-2</v>
      </c>
      <c r="AE79" s="69">
        <f>AE71-AE77</f>
        <v>0.14544138147159577</v>
      </c>
      <c r="AG79" s="69">
        <f>AG71-AG77</f>
        <v>0.14088740987243487</v>
      </c>
      <c r="AI79" s="69">
        <f>AI71-AI77</f>
        <v>0.16701296750613331</v>
      </c>
      <c r="AK79" s="69">
        <f>AK71-AK77</f>
        <v>-5.1440112134320037E-2</v>
      </c>
      <c r="AM79" s="69">
        <f>AM71-AM77</f>
        <v>6.4110848631871067E-2</v>
      </c>
    </row>
    <row r="81" spans="1:39">
      <c r="A81" s="7" t="s">
        <v>17</v>
      </c>
      <c r="C81" s="68">
        <f t="shared" ref="C81:M81" si="17">C29/C$8</f>
        <v>3.2510959323070653E-2</v>
      </c>
      <c r="D81" s="68">
        <f t="shared" si="17"/>
        <v>4.6442778038365246E-2</v>
      </c>
      <c r="E81" s="68">
        <f t="shared" si="17"/>
        <v>3.0108219719712389E-2</v>
      </c>
      <c r="F81" s="68">
        <f t="shared" si="17"/>
        <v>1.0476540825554482E-2</v>
      </c>
      <c r="G81" s="68">
        <f t="shared" si="17"/>
        <v>6.5624494715644341E-2</v>
      </c>
      <c r="H81" s="68">
        <f t="shared" si="17"/>
        <v>7.5185959047221057E-2</v>
      </c>
      <c r="I81" s="68">
        <f t="shared" si="17"/>
        <v>0.10775692468178948</v>
      </c>
      <c r="J81" s="68">
        <f t="shared" si="17"/>
        <v>5.8996691841065471E-2</v>
      </c>
      <c r="K81" s="68">
        <f t="shared" si="17"/>
        <v>5.3989892369758673E-2</v>
      </c>
      <c r="L81" s="68">
        <f t="shared" si="17"/>
        <v>5.1934263785361971E-2</v>
      </c>
      <c r="M81" s="68">
        <f t="shared" si="17"/>
        <v>5.9530316733087528E-2</v>
      </c>
      <c r="O81" s="68">
        <f>O29/O$8</f>
        <v>5.9831639668645402E-2</v>
      </c>
      <c r="Q81" s="68">
        <f>Q29/Q$8</f>
        <v>6.7985659274996682E-2</v>
      </c>
      <c r="S81" s="68">
        <f>S29/S$8</f>
        <v>3.0316485359777004E-2</v>
      </c>
      <c r="U81" s="68">
        <f>U29/U$8</f>
        <v>6.9249628230376586E-2</v>
      </c>
      <c r="W81" s="68">
        <f>W29/W$8</f>
        <v>2.4443212795077423E-2</v>
      </c>
      <c r="Y81" s="68">
        <f>Y29/Y$8</f>
        <v>2.9049954749108946E-4</v>
      </c>
      <c r="AA81" s="68">
        <f>AA29/AA$8</f>
        <v>1.3579876881931156E-2</v>
      </c>
      <c r="AC81" s="68">
        <f>AC29/AC$8</f>
        <v>1.9797472545665249E-2</v>
      </c>
      <c r="AE81" s="68">
        <f>AE29/AE$8</f>
        <v>9.6499854115562091E-3</v>
      </c>
      <c r="AG81" s="68">
        <f>AG29/AG$8</f>
        <v>2.9950083194675543E-4</v>
      </c>
      <c r="AI81" s="68">
        <f>AI29/AI$8</f>
        <v>9.2750212787262813E-3</v>
      </c>
      <c r="AK81" s="68">
        <f>AK29/AK$8</f>
        <v>2.1628057694916276E-2</v>
      </c>
      <c r="AM81" s="68">
        <f>AM29/AM$8</f>
        <v>3.4597824129492895E-2</v>
      </c>
    </row>
    <row r="83" spans="1:39" ht="15">
      <c r="A83" s="60" t="s">
        <v>18</v>
      </c>
      <c r="C83" s="69">
        <f t="shared" ref="C83:M83" si="18">C79-C81</f>
        <v>-4.8883678254663873E-3</v>
      </c>
      <c r="D83" s="69">
        <f t="shared" si="18"/>
        <v>-1.4108273076712169E-2</v>
      </c>
      <c r="E83" s="69">
        <f t="shared" si="18"/>
        <v>1.9688959831300274E-2</v>
      </c>
      <c r="F83" s="69">
        <f t="shared" si="18"/>
        <v>4.829784951181007E-2</v>
      </c>
      <c r="G83" s="69">
        <f t="shared" si="18"/>
        <v>1.1391865473092816E-3</v>
      </c>
      <c r="H83" s="69">
        <f t="shared" si="18"/>
        <v>-6.8951107396573383E-2</v>
      </c>
      <c r="I83" s="69">
        <f t="shared" si="18"/>
        <v>-0.1085713239936678</v>
      </c>
      <c r="J83" s="69">
        <f t="shared" si="18"/>
        <v>-0.13620612045128139</v>
      </c>
      <c r="K83" s="69">
        <f t="shared" si="18"/>
        <v>-0.11732036138904667</v>
      </c>
      <c r="L83" s="69">
        <f t="shared" si="18"/>
        <v>-2.8190042246355941E-2</v>
      </c>
      <c r="M83" s="69">
        <f t="shared" si="18"/>
        <v>1.3814213732719835E-3</v>
      </c>
      <c r="O83" s="69">
        <f>O79-O81</f>
        <v>-1.8825949402466118E-2</v>
      </c>
      <c r="Q83" s="69">
        <f>Q79-Q81</f>
        <v>6.5607609758452909E-2</v>
      </c>
      <c r="S83" s="69">
        <f>S79-S81</f>
        <v>4.4315350649991328E-2</v>
      </c>
      <c r="U83" s="69">
        <f>U79-U81</f>
        <v>5.8143429390565271E-3</v>
      </c>
      <c r="W83" s="69">
        <f>W79-W81</f>
        <v>7.3725525681774456E-2</v>
      </c>
      <c r="Y83" s="69">
        <f>Y79-Y81</f>
        <v>0.11088144266544503</v>
      </c>
      <c r="AA83" s="69">
        <f>AA79-AA81</f>
        <v>0.11673160722108225</v>
      </c>
      <c r="AC83" s="69">
        <f>AC79-AC81</f>
        <v>7.9341647811930899E-2</v>
      </c>
      <c r="AE83" s="69">
        <f>AE79-AE81</f>
        <v>0.13579139606003957</v>
      </c>
      <c r="AG83" s="69">
        <f>AG79-AG81</f>
        <v>0.14058790904048812</v>
      </c>
      <c r="AI83" s="69">
        <f>AI79-AI81</f>
        <v>0.15773794622740703</v>
      </c>
      <c r="AK83" s="69">
        <f>AK79-AK81</f>
        <v>-7.3068169829236307E-2</v>
      </c>
      <c r="AM83" s="69">
        <f>AM79-AM81</f>
        <v>2.9513024502378173E-2</v>
      </c>
    </row>
    <row r="85" spans="1:39">
      <c r="A85" s="7" t="s">
        <v>19</v>
      </c>
    </row>
    <row r="86" spans="1:39">
      <c r="A86" s="7" t="s">
        <v>20</v>
      </c>
    </row>
    <row r="87" spans="1:39">
      <c r="A87" s="7" t="s">
        <v>21</v>
      </c>
    </row>
    <row r="88" spans="1:39">
      <c r="A88" s="7" t="s">
        <v>22</v>
      </c>
    </row>
    <row r="89" spans="1:39">
      <c r="A89" s="7" t="s">
        <v>23</v>
      </c>
      <c r="C89" s="12">
        <f t="shared" ref="C89:M89" si="19">C37/C$8</f>
        <v>-4.0906310531144865E-2</v>
      </c>
      <c r="D89" s="12">
        <f t="shared" si="19"/>
        <v>6.4571543442637925E-4</v>
      </c>
      <c r="E89" s="12">
        <f t="shared" si="19"/>
        <v>-7.0657665441445664E-3</v>
      </c>
      <c r="F89" s="12">
        <f t="shared" si="19"/>
        <v>-5.3647246363483091E-4</v>
      </c>
      <c r="G89" s="12">
        <f t="shared" si="19"/>
        <v>-5.5856888771295442E-4</v>
      </c>
      <c r="H89" s="12">
        <f t="shared" si="19"/>
        <v>-1.1182615963226075E-2</v>
      </c>
      <c r="I89" s="12">
        <f t="shared" si="19"/>
        <v>3.1477905987207524E-3</v>
      </c>
      <c r="J89" s="12">
        <f t="shared" si="19"/>
        <v>-0.12613874261380281</v>
      </c>
      <c r="K89" s="12">
        <f t="shared" si="19"/>
        <v>-2.1632853196623024E-2</v>
      </c>
      <c r="L89" s="12">
        <f t="shared" si="19"/>
        <v>1.6146513016743712E-2</v>
      </c>
      <c r="M89" s="12">
        <f t="shared" si="19"/>
        <v>7.9506266087596032E-4</v>
      </c>
      <c r="O89" s="12">
        <f>O37/O$8</f>
        <v>-2.3476540228728577E-4</v>
      </c>
      <c r="Q89" s="12">
        <f>Q37/Q$8</f>
        <v>-5.0578819666590212E-3</v>
      </c>
      <c r="S89" s="12">
        <f>S37/S$8</f>
        <v>-3.3671279508621327E-3</v>
      </c>
      <c r="U89" s="12">
        <f>U37/U$8</f>
        <v>-2.6285117157670512E-2</v>
      </c>
      <c r="W89" s="12">
        <f>W37/W$8</f>
        <v>-6.311574613444333E-3</v>
      </c>
      <c r="Y89" s="12">
        <f>Y37/Y$8</f>
        <v>2.569803689344253E-3</v>
      </c>
      <c r="AA89" s="12">
        <f>AA37/AA$8</f>
        <v>-1.2553892974892214E-2</v>
      </c>
      <c r="AC89" s="12">
        <f>AC37/AC$8</f>
        <v>-1.1216268417857734E-2</v>
      </c>
      <c r="AE89" s="12">
        <f>AE37/AE$8</f>
        <v>-3.5228390192243273E-3</v>
      </c>
      <c r="AG89" s="12">
        <f>AG37/AG$8</f>
        <v>4.0155296727676093E-3</v>
      </c>
      <c r="AI89" s="12">
        <f>AI37/AI$8</f>
        <v>-4.3809142342161921E-4</v>
      </c>
      <c r="AK89" s="12">
        <f>AK37/AK$8</f>
        <v>1.3564635488100801E-3</v>
      </c>
      <c r="AM89" s="12">
        <f>AM37/AM$8</f>
        <v>-8.6653460312079572E-3</v>
      </c>
    </row>
    <row r="91" spans="1:39">
      <c r="A91" s="7" t="s">
        <v>24</v>
      </c>
      <c r="C91" s="12">
        <f t="shared" ref="C91:M91" si="20">C39/C$8</f>
        <v>-3.6191252930981753E-4</v>
      </c>
      <c r="D91" s="12">
        <f t="shared" si="20"/>
        <v>0</v>
      </c>
      <c r="E91" s="12">
        <f t="shared" si="20"/>
        <v>0</v>
      </c>
      <c r="F91" s="12">
        <f t="shared" si="20"/>
        <v>0</v>
      </c>
      <c r="G91" s="12">
        <f t="shared" si="20"/>
        <v>0</v>
      </c>
      <c r="H91" s="12">
        <f t="shared" si="20"/>
        <v>0</v>
      </c>
      <c r="I91" s="12">
        <f t="shared" si="20"/>
        <v>0</v>
      </c>
      <c r="J91" s="12">
        <f t="shared" si="20"/>
        <v>0</v>
      </c>
      <c r="K91" s="12">
        <f t="shared" si="20"/>
        <v>0</v>
      </c>
      <c r="L91" s="12">
        <f t="shared" si="20"/>
        <v>-3.1518878149123001E-4</v>
      </c>
      <c r="M91" s="12">
        <f t="shared" si="20"/>
        <v>2.1963606006698403E-3</v>
      </c>
      <c r="O91" s="12">
        <f>O39/O$8</f>
        <v>6.7970173614604647E-3</v>
      </c>
      <c r="Q91" s="12">
        <f>Q39/Q$8</f>
        <v>5.1061672360304677E-3</v>
      </c>
      <c r="S91" s="12">
        <f>S39/S$8</f>
        <v>3.7741434174498631E-3</v>
      </c>
      <c r="U91" s="12">
        <f>U39/U$8</f>
        <v>0</v>
      </c>
      <c r="W91" s="12">
        <f>W39/W$8</f>
        <v>0</v>
      </c>
      <c r="Y91" s="12">
        <f>Y39/Y$8</f>
        <v>0</v>
      </c>
      <c r="AA91" s="12">
        <f>AA39/AA$8</f>
        <v>0</v>
      </c>
      <c r="AC91" s="12">
        <f>AC39/AC$8</f>
        <v>0</v>
      </c>
      <c r="AE91" s="12">
        <f>AE39/AE$8</f>
        <v>0</v>
      </c>
      <c r="AG91" s="12">
        <f>AG39/AG$8</f>
        <v>-1.2978369384359402E-3</v>
      </c>
      <c r="AI91" s="12">
        <f>AI39/AI$8</f>
        <v>-3.5798327742452311E-3</v>
      </c>
      <c r="AK91" s="12">
        <f>AK39/AK$8</f>
        <v>-9.7183077363637738E-2</v>
      </c>
      <c r="AM91" s="12">
        <f>AM39/AM$8</f>
        <v>0</v>
      </c>
    </row>
    <row r="93" spans="1:39">
      <c r="A93" s="7" t="s">
        <v>25</v>
      </c>
      <c r="C93" s="70">
        <f t="shared" ref="C93:M93" si="21">C89+C91</f>
        <v>-4.1268223060454683E-2</v>
      </c>
      <c r="D93" s="70">
        <f t="shared" si="21"/>
        <v>6.4571543442637925E-4</v>
      </c>
      <c r="E93" s="70">
        <f t="shared" si="21"/>
        <v>-7.0657665441445664E-3</v>
      </c>
      <c r="F93" s="70">
        <f t="shared" si="21"/>
        <v>-5.3647246363483091E-4</v>
      </c>
      <c r="G93" s="70">
        <f t="shared" si="21"/>
        <v>-5.5856888771295442E-4</v>
      </c>
      <c r="H93" s="70">
        <f t="shared" si="21"/>
        <v>-1.1182615963226075E-2</v>
      </c>
      <c r="I93" s="70">
        <f t="shared" si="21"/>
        <v>3.1477905987207524E-3</v>
      </c>
      <c r="J93" s="70">
        <f t="shared" si="21"/>
        <v>-0.12613874261380281</v>
      </c>
      <c r="K93" s="70">
        <f t="shared" si="21"/>
        <v>-2.1632853196623024E-2</v>
      </c>
      <c r="L93" s="70">
        <f t="shared" si="21"/>
        <v>1.5831324235252481E-2</v>
      </c>
      <c r="M93" s="70">
        <f t="shared" si="21"/>
        <v>2.9914232615458006E-3</v>
      </c>
      <c r="O93" s="70">
        <f>O89+O91</f>
        <v>6.5622519591731791E-3</v>
      </c>
      <c r="Q93" s="70">
        <f>Q89+Q91</f>
        <v>4.8285269371446497E-5</v>
      </c>
      <c r="S93" s="70">
        <f>S89+S91</f>
        <v>4.0701546658773041E-4</v>
      </c>
      <c r="U93" s="70">
        <f>U89+U91</f>
        <v>-2.6285117157670512E-2</v>
      </c>
      <c r="W93" s="70">
        <f>W89+W91</f>
        <v>-6.311574613444333E-3</v>
      </c>
      <c r="Y93" s="70">
        <f>Y89+Y91</f>
        <v>2.569803689344253E-3</v>
      </c>
      <c r="AA93" s="70">
        <f>AA89+AA91</f>
        <v>-1.2553892974892214E-2</v>
      </c>
      <c r="AC93" s="70">
        <f>AC89+AC91</f>
        <v>-1.1216268417857734E-2</v>
      </c>
      <c r="AE93" s="70">
        <f>AE89+AE91</f>
        <v>-3.5228390192243273E-3</v>
      </c>
      <c r="AG93" s="70">
        <f>AG89+AG91</f>
        <v>2.7176927343316691E-3</v>
      </c>
      <c r="AI93" s="70">
        <f>AI89+AI91</f>
        <v>-4.0179241976668507E-3</v>
      </c>
      <c r="AK93" s="70">
        <f>AK89+AK91</f>
        <v>-9.5826613814827655E-2</v>
      </c>
      <c r="AM93" s="70">
        <f>AM89+AM91</f>
        <v>-8.6653460312079572E-3</v>
      </c>
    </row>
    <row r="95" spans="1:39" ht="15">
      <c r="A95" s="60" t="s">
        <v>26</v>
      </c>
      <c r="C95" s="69">
        <f t="shared" ref="C95:M95" si="22">C83+C93</f>
        <v>-4.615659088592107E-2</v>
      </c>
      <c r="D95" s="69">
        <f t="shared" si="22"/>
        <v>-1.3462557642285791E-2</v>
      </c>
      <c r="E95" s="69">
        <f t="shared" si="22"/>
        <v>1.2623193287155707E-2</v>
      </c>
      <c r="F95" s="69">
        <f t="shared" si="22"/>
        <v>4.7761377048175242E-2</v>
      </c>
      <c r="G95" s="69">
        <f t="shared" si="22"/>
        <v>5.8061765959632717E-4</v>
      </c>
      <c r="H95" s="69">
        <f t="shared" si="22"/>
        <v>-8.0133723359799458E-2</v>
      </c>
      <c r="I95" s="69">
        <f t="shared" si="22"/>
        <v>-0.10542353339494705</v>
      </c>
      <c r="J95" s="69">
        <f t="shared" si="22"/>
        <v>-0.2623448630650842</v>
      </c>
      <c r="K95" s="69">
        <f t="shared" si="22"/>
        <v>-0.1389532145856697</v>
      </c>
      <c r="L95" s="69">
        <f t="shared" si="22"/>
        <v>-1.235871801110346E-2</v>
      </c>
      <c r="M95" s="69">
        <f t="shared" si="22"/>
        <v>4.3728446348177841E-3</v>
      </c>
      <c r="O95" s="69">
        <f>O83+O93</f>
        <v>-1.2263697443292938E-2</v>
      </c>
      <c r="Q95" s="69">
        <f>Q83+Q93</f>
        <v>6.565589502782436E-2</v>
      </c>
      <c r="S95" s="69">
        <f>S83+S93</f>
        <v>4.4722366116579058E-2</v>
      </c>
      <c r="U95" s="69">
        <f>U83+U93</f>
        <v>-2.0470774218613985E-2</v>
      </c>
      <c r="W95" s="69">
        <f>W83+W93</f>
        <v>6.7413951068330119E-2</v>
      </c>
      <c r="Y95" s="69">
        <f>Y83+Y93</f>
        <v>0.11345124635478929</v>
      </c>
      <c r="AA95" s="69">
        <f>AA83+AA93</f>
        <v>0.10417771424619003</v>
      </c>
      <c r="AC95" s="69">
        <f>AC83+AC93</f>
        <v>6.8125379394073163E-2</v>
      </c>
      <c r="AE95" s="69">
        <f>AE83+AE93</f>
        <v>0.13226855704081525</v>
      </c>
      <c r="AG95" s="69">
        <f>AG83+AG93</f>
        <v>0.1433056017748198</v>
      </c>
      <c r="AI95" s="69">
        <f>AI83+AI93</f>
        <v>0.15372002202974017</v>
      </c>
      <c r="AK95" s="69">
        <f>AK83+AK93</f>
        <v>-0.16889478364406396</v>
      </c>
      <c r="AM95" s="69">
        <f>AM83+AM93</f>
        <v>2.0847678471170215E-2</v>
      </c>
    </row>
    <row r="97" spans="1:39">
      <c r="A97" s="7" t="s">
        <v>27</v>
      </c>
      <c r="C97" s="12">
        <f t="shared" ref="C97:M97" si="23">C45/C$8</f>
        <v>1.8503415230910389E-3</v>
      </c>
      <c r="D97" s="12">
        <f t="shared" si="23"/>
        <v>-6.3322754159077482E-2</v>
      </c>
      <c r="E97" s="12">
        <f t="shared" si="23"/>
        <v>-3.645642655263813E-2</v>
      </c>
      <c r="F97" s="12">
        <f t="shared" si="23"/>
        <v>0</v>
      </c>
      <c r="G97" s="12">
        <f t="shared" si="23"/>
        <v>0</v>
      </c>
      <c r="H97" s="12">
        <f t="shared" si="23"/>
        <v>0</v>
      </c>
      <c r="I97" s="12">
        <f t="shared" si="23"/>
        <v>-6.8903672117346703E-3</v>
      </c>
      <c r="J97" s="12">
        <f t="shared" si="23"/>
        <v>-3.2860092742770991E-2</v>
      </c>
      <c r="K97" s="12">
        <f t="shared" si="23"/>
        <v>-3.2381313020977461E-3</v>
      </c>
      <c r="L97" s="12">
        <f t="shared" si="23"/>
        <v>1.6483820309216784E-2</v>
      </c>
      <c r="M97" s="12">
        <f t="shared" si="23"/>
        <v>-3.1504357937209926E-3</v>
      </c>
      <c r="O97" s="12">
        <f>O45/O$8</f>
        <v>-8.4068372628589953E-3</v>
      </c>
      <c r="Q97" s="12">
        <f>Q45/Q$8</f>
        <v>1.6742917154549074E-2</v>
      </c>
      <c r="S97" s="12">
        <f>S45/S$8</f>
        <v>1.8661042452946544E-2</v>
      </c>
      <c r="U97" s="12">
        <f>U45/U$8</f>
        <v>1.6076524255455971E-4</v>
      </c>
      <c r="W97" s="12">
        <f>W45/W$8</f>
        <v>2.7350156658258774E-2</v>
      </c>
      <c r="Y97" s="12">
        <f>Y45/Y$8</f>
        <v>5.2055284298499462E-2</v>
      </c>
      <c r="AA97" s="12">
        <f>AA45/AA$8</f>
        <v>3.4468448112881286E-2</v>
      </c>
      <c r="AC97" s="12">
        <f>AC45/AC$8</f>
        <v>3.0544671927597813E-2</v>
      </c>
      <c r="AE97" s="12">
        <f>AE45/AE$8</f>
        <v>4.8444439641664595E-2</v>
      </c>
      <c r="AG97" s="12">
        <f>AG45/AG$8</f>
        <v>5.1436494731003882E-2</v>
      </c>
      <c r="AI97" s="12">
        <f>AI45/AI$8</f>
        <v>3.2656586391628696E-2</v>
      </c>
      <c r="AK97" s="12">
        <f>AK45/AK$8</f>
        <v>-1.779981612383005E-2</v>
      </c>
      <c r="AM97" s="12">
        <f>AM45/AM$8</f>
        <v>1.0593332556488946E-4</v>
      </c>
    </row>
    <row r="99" spans="1:39" ht="15.75" thickBot="1">
      <c r="A99" s="60" t="s">
        <v>28</v>
      </c>
      <c r="C99" s="71">
        <f t="shared" ref="C99:M99" si="24">C95-C97</f>
        <v>-4.8006932409012111E-2</v>
      </c>
      <c r="D99" s="71">
        <f t="shared" si="24"/>
        <v>4.9860196516791688E-2</v>
      </c>
      <c r="E99" s="71">
        <f t="shared" si="24"/>
        <v>4.9079619839793837E-2</v>
      </c>
      <c r="F99" s="71">
        <f t="shared" si="24"/>
        <v>4.7761377048175242E-2</v>
      </c>
      <c r="G99" s="71">
        <f t="shared" si="24"/>
        <v>5.8061765959632717E-4</v>
      </c>
      <c r="H99" s="71">
        <f t="shared" si="24"/>
        <v>-8.0133723359799458E-2</v>
      </c>
      <c r="I99" s="71">
        <f t="shared" si="24"/>
        <v>-9.8533166183212381E-2</v>
      </c>
      <c r="J99" s="71">
        <f t="shared" si="24"/>
        <v>-0.22948477032231321</v>
      </c>
      <c r="K99" s="71">
        <f t="shared" si="24"/>
        <v>-0.13571508328357196</v>
      </c>
      <c r="L99" s="71">
        <f t="shared" si="24"/>
        <v>-2.8842538320320243E-2</v>
      </c>
      <c r="M99" s="71">
        <f t="shared" si="24"/>
        <v>7.5232804285387768E-3</v>
      </c>
      <c r="O99" s="71">
        <f>O95-O97</f>
        <v>-3.8568601804339422E-3</v>
      </c>
      <c r="Q99" s="71">
        <f>Q95-Q97</f>
        <v>4.8912977873275282E-2</v>
      </c>
      <c r="S99" s="71">
        <f>S95-S97</f>
        <v>2.6061323663632514E-2</v>
      </c>
      <c r="U99" s="71">
        <f>U95-U97</f>
        <v>-2.0631539461168545E-2</v>
      </c>
      <c r="W99" s="71">
        <f>W95-W97</f>
        <v>4.0063794410071345E-2</v>
      </c>
      <c r="Y99" s="71">
        <f>Y95-Y97</f>
        <v>6.1395962056289825E-2</v>
      </c>
      <c r="AA99" s="71">
        <f>AA95-AA97</f>
        <v>6.9709266133308745E-2</v>
      </c>
      <c r="AC99" s="71">
        <f>AC95-AC97</f>
        <v>3.7580707466475349E-2</v>
      </c>
      <c r="AE99" s="71">
        <f>AE95-AE97</f>
        <v>8.3824117399150661E-2</v>
      </c>
      <c r="AG99" s="71">
        <f>AG95-AG97</f>
        <v>9.1869107043815915E-2</v>
      </c>
      <c r="AI99" s="71">
        <f>AI95-AI97</f>
        <v>0.12106343563811148</v>
      </c>
      <c r="AK99" s="71">
        <f>AK95-AK97</f>
        <v>-0.15109496752023391</v>
      </c>
      <c r="AM99" s="71">
        <f>AM95-AM97</f>
        <v>2.0741745145605325E-2</v>
      </c>
    </row>
    <row r="100" spans="1:39" ht="15" thickTop="1"/>
    <row r="101" spans="1:39" ht="15">
      <c r="A101" s="11" t="s">
        <v>30</v>
      </c>
    </row>
    <row r="102" spans="1:39">
      <c r="A102" s="7" t="s">
        <v>2</v>
      </c>
      <c r="C102" s="12">
        <v>0</v>
      </c>
      <c r="D102" s="12">
        <f t="shared" ref="D102:M102" si="25">(D8/C8)-1</f>
        <v>-0.16322255071872771</v>
      </c>
      <c r="E102" s="12">
        <f t="shared" si="25"/>
        <v>-0.16803830432690259</v>
      </c>
      <c r="F102" s="12">
        <f t="shared" si="25"/>
        <v>-4.4605854701480485E-2</v>
      </c>
      <c r="G102" s="12">
        <f t="shared" si="25"/>
        <v>4.2764519244033572E-2</v>
      </c>
      <c r="H102" s="12">
        <f t="shared" si="25"/>
        <v>-0.12062148138348694</v>
      </c>
      <c r="I102" s="12">
        <f t="shared" si="25"/>
        <v>-8.6644379440033448E-2</v>
      </c>
      <c r="J102" s="12">
        <f t="shared" si="25"/>
        <v>0.28068409542197781</v>
      </c>
      <c r="K102" s="12">
        <f t="shared" si="25"/>
        <v>0.47175918317769039</v>
      </c>
      <c r="L102" s="12">
        <f t="shared" si="25"/>
        <v>-0.12204405217906333</v>
      </c>
      <c r="M102" s="12">
        <f t="shared" si="25"/>
        <v>-0.44360332662405166</v>
      </c>
      <c r="O102" s="12">
        <f>(O8/M8)-1</f>
        <v>-0.11101062402480599</v>
      </c>
      <c r="Q102" s="12">
        <f>(Q8/O8)-1</f>
        <v>-7.3895205196140901E-2</v>
      </c>
      <c r="S102" s="12">
        <f>(S8/Q8)-1</f>
        <v>-2.1281732475465054E-2</v>
      </c>
      <c r="U102" s="12">
        <f>(U8/S8)-1</f>
        <v>-7.936801598460741E-2</v>
      </c>
      <c r="W102" s="12">
        <f>(W8/U8)-1</f>
        <v>0.1844245274171723</v>
      </c>
      <c r="Y102" s="12">
        <f>(Y8/W8)-1</f>
        <v>1.2351683652116918E-2</v>
      </c>
      <c r="AA102" s="12">
        <f>(AA8/Y8)-1</f>
        <v>-3.07817789745366E-2</v>
      </c>
      <c r="AC102" s="12">
        <f>(AC8/AA8)-1</f>
        <v>-0.16441103912572341</v>
      </c>
      <c r="AE102" s="12">
        <f>(AE8/AC8)-1</f>
        <v>0.27668175045527299</v>
      </c>
      <c r="AG102" s="12">
        <f>(AG8/AE8)-1</f>
        <v>-2.5816142383211393E-2</v>
      </c>
      <c r="AI102" s="12">
        <f>(AI8/AG8)-1</f>
        <v>-0.11378813089295614</v>
      </c>
      <c r="AK102" s="12">
        <f>(AK8/AI8)-1</f>
        <v>-0.16951634706854257</v>
      </c>
      <c r="AM102" s="12">
        <f>(AM8/AK8)-1</f>
        <v>0.42276447271247486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4055-74D6-48BA-97FA-FE64E5A8EEB6}">
  <dimension ref="B1:AM190"/>
  <sheetViews>
    <sheetView rightToLeft="1" topLeftCell="B1" workbookViewId="0">
      <selection activeCell="I1" sqref="I1"/>
    </sheetView>
  </sheetViews>
  <sheetFormatPr defaultColWidth="8.625" defaultRowHeight="14.25"/>
  <cols>
    <col min="1" max="1" width="1.625" customWidth="1"/>
    <col min="2" max="2" width="27.25" bestFit="1" customWidth="1"/>
    <col min="14" max="14" width="1.625" customWidth="1"/>
    <col min="16" max="16" width="1.625" customWidth="1"/>
    <col min="18" max="18" width="1.625" customWidth="1"/>
    <col min="20" max="20" width="1.625" customWidth="1"/>
    <col min="22" max="22" width="1.625" customWidth="1"/>
    <col min="24" max="24" width="1.625" customWidth="1"/>
    <col min="26" max="26" width="1.625" customWidth="1"/>
    <col min="28" max="28" width="1.625" customWidth="1"/>
    <col min="30" max="30" width="1.625" customWidth="1"/>
    <col min="32" max="32" width="1.625" customWidth="1"/>
    <col min="34" max="34" width="1.625" customWidth="1"/>
    <col min="36" max="36" width="1.625" customWidth="1"/>
    <col min="38" max="38" width="1.625" customWidth="1"/>
    <col min="40" max="40" width="1.625" customWidth="1"/>
  </cols>
  <sheetData>
    <row r="1" spans="2:39" s="14" customFormat="1">
      <c r="B1" s="13" t="s">
        <v>31</v>
      </c>
      <c r="C1" s="14">
        <v>2016</v>
      </c>
      <c r="D1" s="14">
        <f t="shared" ref="D1:M1" si="0">C1-1</f>
        <v>2015</v>
      </c>
      <c r="E1" s="14">
        <f t="shared" si="0"/>
        <v>2014</v>
      </c>
      <c r="F1" s="14">
        <f t="shared" si="0"/>
        <v>2013</v>
      </c>
      <c r="G1" s="14">
        <f t="shared" si="0"/>
        <v>2012</v>
      </c>
      <c r="H1" s="14">
        <f t="shared" si="0"/>
        <v>2011</v>
      </c>
      <c r="I1" s="14">
        <f t="shared" si="0"/>
        <v>2010</v>
      </c>
      <c r="J1" s="14">
        <f t="shared" si="0"/>
        <v>2009</v>
      </c>
      <c r="K1" s="14">
        <f t="shared" si="0"/>
        <v>2008</v>
      </c>
      <c r="L1" s="14">
        <f t="shared" si="0"/>
        <v>2007</v>
      </c>
      <c r="M1" s="14">
        <f t="shared" si="0"/>
        <v>2006</v>
      </c>
    </row>
    <row r="2" spans="2:39">
      <c r="B2" t="s">
        <v>35</v>
      </c>
      <c r="C2" s="19">
        <v>12100</v>
      </c>
      <c r="D2" s="19">
        <v>11769</v>
      </c>
      <c r="E2" s="19">
        <v>6092</v>
      </c>
      <c r="F2" s="19">
        <v>3437</v>
      </c>
      <c r="G2" s="19">
        <v>4027</v>
      </c>
      <c r="H2" s="19">
        <v>1938</v>
      </c>
      <c r="I2" s="19">
        <v>3016</v>
      </c>
      <c r="J2" s="19">
        <v>4544</v>
      </c>
      <c r="K2" s="19">
        <v>2284</v>
      </c>
      <c r="L2" s="19">
        <v>2765</v>
      </c>
      <c r="M2" s="19">
        <v>4073</v>
      </c>
      <c r="O2" s="19"/>
      <c r="Q2" s="19"/>
      <c r="S2" s="19"/>
      <c r="U2" s="19"/>
      <c r="W2" s="19"/>
      <c r="Y2" s="19"/>
      <c r="AA2" s="19"/>
      <c r="AC2" s="19"/>
      <c r="AE2" s="19"/>
      <c r="AG2" s="19"/>
      <c r="AI2" s="19"/>
      <c r="AK2" s="19"/>
      <c r="AM2" s="19"/>
    </row>
    <row r="3" spans="2:39">
      <c r="B3" t="s">
        <v>36</v>
      </c>
      <c r="C3" s="50">
        <v>0</v>
      </c>
      <c r="D3" s="50">
        <v>0</v>
      </c>
      <c r="E3" s="50">
        <v>0</v>
      </c>
      <c r="F3" s="50">
        <v>0</v>
      </c>
      <c r="G3" s="50">
        <v>0</v>
      </c>
      <c r="H3" s="50">
        <v>0</v>
      </c>
      <c r="I3" s="50">
        <v>0</v>
      </c>
      <c r="J3" s="50"/>
      <c r="K3" s="50"/>
      <c r="L3" s="50"/>
      <c r="M3" s="50"/>
      <c r="O3" s="50"/>
      <c r="Q3" s="50"/>
      <c r="S3" s="50"/>
      <c r="U3" s="50"/>
      <c r="W3" s="50"/>
      <c r="Y3" s="50"/>
      <c r="AA3" s="50"/>
      <c r="AC3" s="50"/>
      <c r="AE3" s="50"/>
      <c r="AG3" s="50"/>
      <c r="AI3" s="50"/>
      <c r="AK3" s="50"/>
      <c r="AM3" s="50"/>
    </row>
    <row r="4" spans="2:39">
      <c r="B4" t="s">
        <v>37</v>
      </c>
      <c r="C4" s="19">
        <v>12100</v>
      </c>
      <c r="D4" s="19">
        <v>11769</v>
      </c>
      <c r="E4" s="19">
        <v>6092</v>
      </c>
      <c r="F4" s="19">
        <v>3437</v>
      </c>
      <c r="G4" s="19">
        <v>4027</v>
      </c>
      <c r="H4" s="19">
        <v>1938</v>
      </c>
      <c r="I4" s="19">
        <v>3016</v>
      </c>
      <c r="J4" s="19">
        <v>4544</v>
      </c>
      <c r="K4" s="19">
        <v>2284</v>
      </c>
      <c r="L4" s="19">
        <v>2765</v>
      </c>
      <c r="M4" s="19">
        <v>4073</v>
      </c>
      <c r="O4" s="19"/>
      <c r="Q4" s="19"/>
      <c r="S4" s="19"/>
      <c r="U4" s="19"/>
      <c r="W4" s="19"/>
      <c r="Y4" s="19"/>
      <c r="AA4" s="19"/>
      <c r="AC4" s="19"/>
      <c r="AE4" s="19"/>
      <c r="AG4" s="19"/>
      <c r="AI4" s="19"/>
      <c r="AK4" s="19"/>
      <c r="AM4" s="19"/>
    </row>
    <row r="5" spans="2:39">
      <c r="B5" t="s">
        <v>38</v>
      </c>
      <c r="C5" s="19">
        <v>821</v>
      </c>
      <c r="D5" s="19">
        <v>538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O5" s="19"/>
      <c r="Q5" s="19"/>
      <c r="S5" s="19"/>
      <c r="U5" s="19"/>
      <c r="W5" s="19"/>
      <c r="Y5" s="19"/>
      <c r="AA5" s="19"/>
      <c r="AC5" s="19"/>
      <c r="AE5" s="19"/>
      <c r="AG5" s="19"/>
      <c r="AI5" s="19"/>
      <c r="AK5" s="19"/>
      <c r="AM5" s="19"/>
    </row>
    <row r="6" spans="2:39">
      <c r="B6" s="18" t="s">
        <v>210</v>
      </c>
      <c r="C6" s="51">
        <v>12921</v>
      </c>
      <c r="D6" s="51">
        <v>12307</v>
      </c>
      <c r="E6" s="51">
        <v>6092</v>
      </c>
      <c r="F6" s="51">
        <v>3437</v>
      </c>
      <c r="G6" s="51">
        <v>4027</v>
      </c>
      <c r="H6" s="51">
        <v>1938</v>
      </c>
      <c r="I6" s="51">
        <v>3016</v>
      </c>
      <c r="J6" s="51">
        <v>4544</v>
      </c>
      <c r="K6" s="51">
        <v>2284</v>
      </c>
      <c r="L6" s="51">
        <v>2765</v>
      </c>
      <c r="M6" s="51">
        <v>4073</v>
      </c>
      <c r="O6" s="51"/>
      <c r="Q6" s="51"/>
      <c r="S6" s="51"/>
      <c r="U6" s="51"/>
      <c r="W6" s="51"/>
      <c r="Y6" s="51"/>
      <c r="AA6" s="51"/>
      <c r="AC6" s="51"/>
      <c r="AE6" s="51"/>
      <c r="AG6" s="51"/>
      <c r="AI6" s="51"/>
      <c r="AK6" s="51"/>
      <c r="AM6" s="51"/>
    </row>
    <row r="7" spans="2:39">
      <c r="B7" t="s">
        <v>40</v>
      </c>
      <c r="C7" s="19">
        <v>105746</v>
      </c>
      <c r="D7" s="19">
        <v>96312</v>
      </c>
      <c r="E7" s="19">
        <v>59332</v>
      </c>
      <c r="F7" s="19">
        <v>53291</v>
      </c>
      <c r="G7" s="19">
        <v>50415</v>
      </c>
      <c r="H7" s="19">
        <v>56182</v>
      </c>
      <c r="I7" s="19">
        <v>40676</v>
      </c>
      <c r="J7" s="19">
        <v>47470</v>
      </c>
      <c r="K7" s="19">
        <v>82980</v>
      </c>
      <c r="L7" s="19">
        <v>87286</v>
      </c>
      <c r="M7" s="19">
        <v>41628</v>
      </c>
      <c r="O7" s="19"/>
      <c r="Q7" s="19"/>
      <c r="S7" s="19"/>
      <c r="U7" s="19"/>
      <c r="W7" s="19"/>
      <c r="Y7" s="19"/>
      <c r="AA7" s="19"/>
      <c r="AC7" s="19"/>
      <c r="AE7" s="19"/>
      <c r="AG7" s="19"/>
      <c r="AI7" s="19"/>
      <c r="AK7" s="19"/>
      <c r="AM7" s="19"/>
    </row>
    <row r="8" spans="2:39">
      <c r="B8" t="s">
        <v>41</v>
      </c>
      <c r="C8" s="19">
        <v>3459</v>
      </c>
      <c r="D8" s="19">
        <v>6029</v>
      </c>
      <c r="E8" s="19">
        <v>4164</v>
      </c>
      <c r="F8" s="19">
        <v>2127</v>
      </c>
      <c r="G8" s="19">
        <v>1497</v>
      </c>
      <c r="H8" s="19">
        <v>2171</v>
      </c>
      <c r="I8" s="19">
        <v>2238</v>
      </c>
      <c r="J8" s="19">
        <v>2847</v>
      </c>
      <c r="K8" s="19">
        <v>5892</v>
      </c>
      <c r="L8" s="19">
        <v>6047</v>
      </c>
      <c r="M8" s="19">
        <v>4238</v>
      </c>
      <c r="O8" s="19"/>
      <c r="Q8" s="19"/>
      <c r="S8" s="19"/>
      <c r="U8" s="19"/>
      <c r="W8" s="19"/>
      <c r="Y8" s="19"/>
      <c r="AA8" s="19"/>
      <c r="AC8" s="19"/>
      <c r="AE8" s="19"/>
      <c r="AG8" s="19"/>
      <c r="AI8" s="19"/>
      <c r="AK8" s="19"/>
      <c r="AM8" s="19"/>
    </row>
    <row r="9" spans="2:39">
      <c r="B9" s="18" t="s">
        <v>39</v>
      </c>
      <c r="C9" s="51">
        <f t="shared" ref="C9:M9" si="1">SUM(C7:C8)</f>
        <v>109205</v>
      </c>
      <c r="D9" s="51">
        <f t="shared" si="1"/>
        <v>102341</v>
      </c>
      <c r="E9" s="51">
        <f t="shared" si="1"/>
        <v>63496</v>
      </c>
      <c r="F9" s="51">
        <f t="shared" si="1"/>
        <v>55418</v>
      </c>
      <c r="G9" s="51">
        <f t="shared" si="1"/>
        <v>51912</v>
      </c>
      <c r="H9" s="51">
        <f t="shared" si="1"/>
        <v>58353</v>
      </c>
      <c r="I9" s="51">
        <f t="shared" si="1"/>
        <v>42914</v>
      </c>
      <c r="J9" s="51">
        <f t="shared" si="1"/>
        <v>50317</v>
      </c>
      <c r="K9" s="51">
        <f t="shared" si="1"/>
        <v>88872</v>
      </c>
      <c r="L9" s="51">
        <f t="shared" si="1"/>
        <v>93333</v>
      </c>
      <c r="M9" s="51">
        <f t="shared" si="1"/>
        <v>45866</v>
      </c>
      <c r="O9" s="51"/>
      <c r="Q9" s="51"/>
      <c r="S9" s="51"/>
      <c r="U9" s="51"/>
      <c r="W9" s="51"/>
      <c r="Y9" s="51"/>
      <c r="AA9" s="51"/>
      <c r="AC9" s="51"/>
      <c r="AE9" s="51"/>
      <c r="AG9" s="51"/>
      <c r="AI9" s="51"/>
      <c r="AK9" s="51"/>
      <c r="AM9" s="51"/>
    </row>
    <row r="10" spans="2:39">
      <c r="B10" t="s">
        <v>43</v>
      </c>
      <c r="C10" s="19">
        <v>7510</v>
      </c>
      <c r="D10" s="19">
        <v>9581</v>
      </c>
      <c r="E10" s="19">
        <v>13163</v>
      </c>
      <c r="F10" s="19">
        <v>11643</v>
      </c>
      <c r="G10" s="19"/>
      <c r="H10" s="19">
        <v>14133</v>
      </c>
      <c r="I10" s="19">
        <v>17670</v>
      </c>
      <c r="J10" s="19">
        <v>15468</v>
      </c>
      <c r="K10" s="19">
        <v>25425</v>
      </c>
      <c r="L10" s="19">
        <v>24935</v>
      </c>
      <c r="M10" s="19">
        <v>9163</v>
      </c>
      <c r="O10" s="19"/>
      <c r="Q10" s="19"/>
      <c r="S10" s="19"/>
      <c r="U10" s="19"/>
      <c r="W10" s="19"/>
      <c r="Y10" s="19"/>
      <c r="AA10" s="19"/>
      <c r="AC10" s="19"/>
      <c r="AE10" s="19"/>
      <c r="AG10" s="19"/>
      <c r="AI10" s="19"/>
      <c r="AK10" s="19"/>
      <c r="AM10" s="19"/>
    </row>
    <row r="11" spans="2:39">
      <c r="B11" t="s">
        <v>44</v>
      </c>
      <c r="C11" s="19">
        <v>8674</v>
      </c>
      <c r="D11" s="19">
        <v>14091</v>
      </c>
      <c r="E11" s="19">
        <v>14942</v>
      </c>
      <c r="F11" s="19">
        <v>10890</v>
      </c>
      <c r="G11" s="19"/>
      <c r="H11" s="19">
        <v>17286</v>
      </c>
      <c r="I11" s="19">
        <v>18114</v>
      </c>
      <c r="J11" s="19">
        <v>27259</v>
      </c>
      <c r="K11" s="19">
        <v>36652</v>
      </c>
      <c r="L11" s="19">
        <v>41061</v>
      </c>
      <c r="M11" s="19">
        <v>25133</v>
      </c>
      <c r="O11" s="19"/>
      <c r="Q11" s="19"/>
      <c r="S11" s="19"/>
      <c r="U11" s="19"/>
      <c r="W11" s="19"/>
      <c r="Y11" s="19"/>
      <c r="AA11" s="19"/>
      <c r="AC11" s="19"/>
      <c r="AE11" s="19"/>
      <c r="AG11" s="19"/>
      <c r="AI11" s="19"/>
      <c r="AK11" s="19"/>
      <c r="AM11" s="19"/>
    </row>
    <row r="12" spans="2:39">
      <c r="B12" s="18" t="s">
        <v>42</v>
      </c>
      <c r="C12" s="51">
        <v>16184</v>
      </c>
      <c r="D12" s="51">
        <v>23672</v>
      </c>
      <c r="E12" s="51">
        <v>28105</v>
      </c>
      <c r="F12" s="51">
        <v>22533</v>
      </c>
      <c r="G12" s="51">
        <v>31378</v>
      </c>
      <c r="H12" s="51">
        <v>31419</v>
      </c>
      <c r="I12" s="51">
        <v>35784</v>
      </c>
      <c r="J12" s="51">
        <v>42727</v>
      </c>
      <c r="K12" s="51">
        <v>62077</v>
      </c>
      <c r="L12" s="51">
        <v>65996</v>
      </c>
      <c r="M12" s="51">
        <v>34296</v>
      </c>
      <c r="O12" s="51"/>
      <c r="Q12" s="51"/>
      <c r="S12" s="51"/>
      <c r="U12" s="51"/>
      <c r="W12" s="51"/>
      <c r="Y12" s="51"/>
      <c r="AA12" s="51"/>
      <c r="AC12" s="51"/>
      <c r="AE12" s="51"/>
      <c r="AG12" s="51"/>
      <c r="AI12" s="51"/>
      <c r="AK12" s="52"/>
      <c r="AM12" s="51"/>
    </row>
    <row r="13" spans="2:39">
      <c r="B13" s="18" t="s">
        <v>45</v>
      </c>
      <c r="C13" s="20">
        <v>1558</v>
      </c>
      <c r="D13" s="20">
        <v>1439</v>
      </c>
      <c r="E13" s="20">
        <v>0</v>
      </c>
      <c r="F13" s="20">
        <v>0</v>
      </c>
      <c r="G13" s="20">
        <v>57</v>
      </c>
      <c r="H13" s="20">
        <v>194</v>
      </c>
      <c r="I13" s="20">
        <v>113</v>
      </c>
      <c r="J13" s="20">
        <v>823</v>
      </c>
      <c r="K13" s="20">
        <v>1275</v>
      </c>
      <c r="L13" s="20">
        <v>82</v>
      </c>
      <c r="M13" s="20">
        <v>0</v>
      </c>
      <c r="O13" s="20"/>
      <c r="Q13" s="20"/>
      <c r="S13" s="20"/>
      <c r="U13" s="20"/>
      <c r="W13" s="20"/>
      <c r="Y13" s="20"/>
      <c r="AA13" s="20"/>
      <c r="AC13" s="20"/>
      <c r="AE13" s="20"/>
      <c r="AG13" s="20"/>
      <c r="AI13" s="20"/>
      <c r="AK13" s="20"/>
      <c r="AM13" s="20"/>
    </row>
    <row r="14" spans="2:39" ht="15" customHeight="1">
      <c r="B14" s="17" t="s">
        <v>33</v>
      </c>
      <c r="C14" s="53">
        <v>139868</v>
      </c>
      <c r="D14" s="53">
        <v>139760</v>
      </c>
      <c r="E14" s="53">
        <v>97693</v>
      </c>
      <c r="F14" s="53">
        <v>81388</v>
      </c>
      <c r="G14" s="53">
        <v>87374</v>
      </c>
      <c r="H14" s="53">
        <v>91904</v>
      </c>
      <c r="I14" s="53">
        <v>81827</v>
      </c>
      <c r="J14" s="53">
        <v>98411</v>
      </c>
      <c r="K14" s="53">
        <v>154509</v>
      </c>
      <c r="L14" s="53">
        <v>162177</v>
      </c>
      <c r="M14" s="53">
        <v>84235</v>
      </c>
      <c r="O14" s="53"/>
      <c r="Q14" s="53"/>
      <c r="S14" s="53"/>
      <c r="U14" s="53"/>
      <c r="W14" s="53"/>
      <c r="Y14" s="53"/>
      <c r="AA14" s="53"/>
      <c r="AC14" s="53"/>
      <c r="AE14" s="53"/>
      <c r="AG14" s="53"/>
      <c r="AI14" s="53"/>
      <c r="AK14" s="53"/>
      <c r="AM14" s="53"/>
    </row>
    <row r="15" spans="2:39"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O15" s="19"/>
      <c r="Q15" s="19"/>
      <c r="S15" s="19"/>
      <c r="U15" s="19"/>
      <c r="W15" s="19"/>
      <c r="Y15" s="19"/>
      <c r="AA15" s="19"/>
      <c r="AC15" s="19"/>
      <c r="AE15" s="19"/>
      <c r="AG15" s="19"/>
      <c r="AI15" s="19"/>
      <c r="AK15" s="19"/>
      <c r="AM15" s="19"/>
    </row>
    <row r="16" spans="2:39" ht="15" customHeight="1">
      <c r="B16" s="17" t="s">
        <v>46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O16" s="19"/>
      <c r="Q16" s="19"/>
      <c r="S16" s="19"/>
      <c r="U16" s="19"/>
      <c r="W16" s="19"/>
      <c r="Y16" s="19"/>
      <c r="AA16" s="19"/>
      <c r="AC16" s="19"/>
      <c r="AE16" s="19"/>
      <c r="AG16" s="19"/>
      <c r="AI16" s="19"/>
      <c r="AK16" s="19"/>
      <c r="AM16" s="19"/>
    </row>
    <row r="17" spans="2:39">
      <c r="B17" s="18" t="s">
        <v>47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O17" s="19"/>
      <c r="Q17" s="19"/>
      <c r="S17" s="19"/>
      <c r="U17" s="19"/>
      <c r="W17" s="19"/>
      <c r="Y17" s="19"/>
      <c r="AA17" s="19"/>
      <c r="AC17" s="19"/>
      <c r="AE17" s="19"/>
      <c r="AG17" s="19"/>
      <c r="AI17" s="19"/>
      <c r="AK17" s="19"/>
      <c r="AM17" s="19"/>
    </row>
    <row r="18" spans="2:39">
      <c r="B18" t="s">
        <v>48</v>
      </c>
      <c r="C18" s="19">
        <v>29624</v>
      </c>
      <c r="D18" s="19">
        <v>31223</v>
      </c>
      <c r="E18" s="19">
        <v>26165</v>
      </c>
      <c r="F18" s="19">
        <v>23740</v>
      </c>
      <c r="G18" s="19">
        <v>25332</v>
      </c>
      <c r="H18" s="19">
        <v>28420</v>
      </c>
      <c r="I18" s="19">
        <v>31658</v>
      </c>
      <c r="J18" s="19">
        <v>35767</v>
      </c>
      <c r="K18" s="19">
        <v>56391</v>
      </c>
      <c r="L18" s="19">
        <v>58614</v>
      </c>
      <c r="M18" s="19">
        <v>27689</v>
      </c>
      <c r="O18" s="19"/>
      <c r="Q18" s="19"/>
      <c r="S18" s="19"/>
      <c r="U18" s="19"/>
      <c r="W18" s="19"/>
      <c r="Y18" s="19"/>
      <c r="AA18" s="19"/>
      <c r="AC18" s="19"/>
      <c r="AE18" s="19"/>
      <c r="AG18" s="19"/>
      <c r="AI18" s="19"/>
      <c r="AK18" s="19"/>
      <c r="AM18" s="19"/>
    </row>
    <row r="19" spans="2:39">
      <c r="B19" t="s">
        <v>49</v>
      </c>
      <c r="C19" s="19">
        <v>2129</v>
      </c>
      <c r="D19" s="19">
        <v>2023</v>
      </c>
      <c r="E19" s="19">
        <v>0</v>
      </c>
      <c r="F19" s="19">
        <v>1521</v>
      </c>
      <c r="G19" s="19">
        <v>0</v>
      </c>
      <c r="H19" s="19">
        <v>0</v>
      </c>
      <c r="I19" s="19">
        <v>0</v>
      </c>
      <c r="J19" s="19">
        <v>2472</v>
      </c>
      <c r="K19" s="19">
        <v>4087</v>
      </c>
      <c r="L19" s="19">
        <v>4723</v>
      </c>
      <c r="M19" s="19">
        <v>3533</v>
      </c>
      <c r="O19" s="19"/>
      <c r="Q19" s="19"/>
      <c r="S19" s="19"/>
      <c r="U19" s="19"/>
      <c r="W19" s="19"/>
      <c r="Y19" s="19"/>
      <c r="AA19" s="19"/>
      <c r="AC19" s="19"/>
      <c r="AE19" s="19"/>
      <c r="AG19" s="19"/>
      <c r="AI19" s="19"/>
      <c r="AK19" s="19"/>
      <c r="AM19" s="19"/>
    </row>
    <row r="20" spans="2:39">
      <c r="B20" t="s">
        <v>50</v>
      </c>
      <c r="C20" s="19">
        <v>460</v>
      </c>
      <c r="D20" s="19">
        <v>845</v>
      </c>
      <c r="E20" s="19">
        <v>1618</v>
      </c>
      <c r="F20" s="19">
        <v>17</v>
      </c>
      <c r="G20" s="19">
        <v>1909</v>
      </c>
      <c r="H20" s="19">
        <v>1926</v>
      </c>
      <c r="I20" s="19">
        <v>2850</v>
      </c>
      <c r="J20" s="19">
        <v>0</v>
      </c>
      <c r="K20" s="19">
        <v>0</v>
      </c>
      <c r="L20" s="19">
        <v>0</v>
      </c>
      <c r="M20" s="19">
        <v>0</v>
      </c>
      <c r="O20" s="19"/>
      <c r="Q20" s="19"/>
      <c r="S20" s="19"/>
      <c r="U20" s="19"/>
      <c r="W20" s="19"/>
      <c r="Y20" s="19"/>
      <c r="AA20" s="19"/>
      <c r="AC20" s="19"/>
      <c r="AE20" s="19"/>
      <c r="AG20" s="19"/>
      <c r="AI20" s="19"/>
      <c r="AK20" s="19"/>
      <c r="AM20" s="19"/>
    </row>
    <row r="21" spans="2:39">
      <c r="B21" s="18" t="s">
        <v>47</v>
      </c>
      <c r="C21" s="51">
        <v>32213</v>
      </c>
      <c r="D21" s="51">
        <v>34092</v>
      </c>
      <c r="E21" s="51">
        <v>27783</v>
      </c>
      <c r="F21" s="51">
        <v>25278</v>
      </c>
      <c r="G21" s="51">
        <v>27241</v>
      </c>
      <c r="H21" s="51">
        <v>30346</v>
      </c>
      <c r="I21" s="51">
        <v>34508</v>
      </c>
      <c r="J21" s="51">
        <v>38239</v>
      </c>
      <c r="K21" s="51">
        <v>60478</v>
      </c>
      <c r="L21" s="51">
        <v>63337</v>
      </c>
      <c r="M21" s="51">
        <v>31222</v>
      </c>
      <c r="O21" s="51"/>
      <c r="Q21" s="51"/>
      <c r="S21" s="51"/>
      <c r="U21" s="51"/>
      <c r="W21" s="51"/>
      <c r="Y21" s="51"/>
      <c r="AA21" s="51"/>
      <c r="AC21" s="51"/>
      <c r="AE21" s="51"/>
      <c r="AG21" s="51"/>
      <c r="AI21" s="51"/>
      <c r="AK21" s="51"/>
      <c r="AM21" s="51"/>
    </row>
    <row r="22" spans="2:39">
      <c r="C22" s="19"/>
      <c r="D22" s="19">
        <f>C21*E22</f>
        <v>1175.8968907162002</v>
      </c>
      <c r="E22" s="84">
        <f>G22/5</f>
        <v>3.6503799419991934E-2</v>
      </c>
      <c r="F22" s="19"/>
      <c r="G22" s="84">
        <f>C21/G21-1</f>
        <v>0.18251899709995967</v>
      </c>
      <c r="H22" s="19"/>
      <c r="I22" s="19"/>
      <c r="J22" s="19"/>
      <c r="K22" s="19"/>
      <c r="L22" s="19"/>
      <c r="M22" s="19"/>
      <c r="O22" s="19"/>
      <c r="Q22" s="19"/>
      <c r="S22" s="19"/>
      <c r="U22" s="19"/>
      <c r="W22" s="19"/>
      <c r="Y22" s="19"/>
      <c r="AA22" s="19"/>
      <c r="AC22" s="19"/>
      <c r="AE22" s="19"/>
      <c r="AG22" s="19"/>
      <c r="AI22" s="19"/>
      <c r="AK22" s="19"/>
      <c r="AM22" s="19"/>
    </row>
    <row r="23" spans="2:39">
      <c r="B23" s="18" t="s">
        <v>51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O23" s="19"/>
      <c r="Q23" s="19"/>
      <c r="S23" s="19"/>
      <c r="U23" s="19"/>
      <c r="W23" s="19"/>
      <c r="Y23" s="19"/>
      <c r="AA23" s="19"/>
      <c r="AC23" s="19"/>
      <c r="AE23" s="19"/>
      <c r="AG23" s="19"/>
      <c r="AI23" s="19"/>
      <c r="AK23" s="19"/>
      <c r="AM23" s="19"/>
    </row>
    <row r="24" spans="2:39">
      <c r="B24" t="s">
        <v>52</v>
      </c>
      <c r="C24" s="19">
        <v>2770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10126</v>
      </c>
      <c r="O24" s="19"/>
      <c r="Q24" s="19"/>
      <c r="S24" s="19"/>
      <c r="U24" s="19"/>
      <c r="W24" s="19"/>
      <c r="Y24" s="19"/>
      <c r="AA24" s="19"/>
      <c r="AC24" s="19"/>
      <c r="AE24" s="19"/>
      <c r="AG24" s="19"/>
      <c r="AI24" s="19"/>
      <c r="AK24" s="19"/>
      <c r="AM24" s="19"/>
    </row>
    <row r="25" spans="2:39">
      <c r="B25" t="s">
        <v>53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O25" s="19"/>
      <c r="Q25" s="19"/>
      <c r="S25" s="19"/>
      <c r="U25" s="19"/>
      <c r="W25" s="19"/>
      <c r="Y25" s="19"/>
      <c r="AA25" s="19"/>
      <c r="AC25" s="19"/>
      <c r="AE25" s="19"/>
      <c r="AG25" s="19"/>
      <c r="AI25" s="19"/>
      <c r="AK25" s="19"/>
      <c r="AM25" s="19"/>
    </row>
    <row r="26" spans="2:39">
      <c r="B26" t="s">
        <v>54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O26" s="19"/>
      <c r="Q26" s="19"/>
      <c r="S26" s="19"/>
      <c r="U26" s="19"/>
      <c r="W26" s="19"/>
      <c r="Y26" s="19"/>
      <c r="AA26" s="19"/>
      <c r="AC26" s="19"/>
      <c r="AE26" s="19"/>
      <c r="AG26" s="19"/>
      <c r="AI26" s="19"/>
      <c r="AK26" s="19"/>
      <c r="AM26" s="19"/>
    </row>
    <row r="27" spans="2:39">
      <c r="B27" t="s">
        <v>51</v>
      </c>
      <c r="C27" s="19">
        <v>755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757</v>
      </c>
      <c r="O27" s="19"/>
      <c r="Q27" s="19"/>
      <c r="S27" s="19"/>
      <c r="U27" s="19"/>
      <c r="W27" s="19"/>
      <c r="Y27" s="19"/>
      <c r="AA27" s="19"/>
      <c r="AC27" s="19"/>
      <c r="AE27" s="19"/>
      <c r="AG27" s="19"/>
      <c r="AI27" s="19"/>
      <c r="AK27" s="19"/>
      <c r="AM27" s="19"/>
    </row>
    <row r="28" spans="2:39">
      <c r="B28" s="18" t="s">
        <v>46</v>
      </c>
      <c r="C28" s="51">
        <v>3525</v>
      </c>
      <c r="D28" s="51">
        <v>1094</v>
      </c>
      <c r="E28" s="51">
        <v>2721</v>
      </c>
      <c r="F28" s="51">
        <v>2479</v>
      </c>
      <c r="G28" s="51">
        <v>2256</v>
      </c>
      <c r="H28" s="51">
        <v>2652</v>
      </c>
      <c r="I28" s="51">
        <v>2069</v>
      </c>
      <c r="J28" s="51">
        <v>1541</v>
      </c>
      <c r="K28" s="51">
        <v>1181</v>
      </c>
      <c r="L28" s="51">
        <v>2095</v>
      </c>
      <c r="M28" s="51">
        <v>10883</v>
      </c>
      <c r="O28" s="51"/>
      <c r="Q28" s="51"/>
      <c r="S28" s="51"/>
      <c r="U28" s="51"/>
      <c r="W28" s="51"/>
      <c r="Y28" s="51"/>
      <c r="AA28" s="51"/>
      <c r="AC28" s="51"/>
      <c r="AE28" s="51"/>
      <c r="AG28" s="51"/>
      <c r="AI28" s="51"/>
      <c r="AK28" s="51"/>
      <c r="AM28" s="51"/>
    </row>
    <row r="29" spans="2:39"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O29" s="19"/>
      <c r="Q29" s="19"/>
      <c r="S29" s="19"/>
      <c r="U29" s="19"/>
      <c r="W29" s="19"/>
      <c r="Y29" s="19"/>
      <c r="AA29" s="19"/>
      <c r="AC29" s="19"/>
      <c r="AE29" s="19"/>
      <c r="AG29" s="19"/>
      <c r="AI29" s="19"/>
      <c r="AK29" s="19"/>
      <c r="AM29" s="19"/>
    </row>
    <row r="30" spans="2:39">
      <c r="B30" s="18" t="s">
        <v>55</v>
      </c>
      <c r="C30" s="20">
        <v>48191</v>
      </c>
      <c r="D30" s="20">
        <v>61678</v>
      </c>
      <c r="E30" s="20">
        <v>7686</v>
      </c>
      <c r="F30" s="20">
        <v>2517</v>
      </c>
      <c r="G30" s="20">
        <v>2670</v>
      </c>
      <c r="H30" s="20">
        <v>2696</v>
      </c>
      <c r="I30" s="20">
        <v>2669</v>
      </c>
      <c r="J30" s="20">
        <v>2880</v>
      </c>
      <c r="K30" s="20">
        <v>2958</v>
      </c>
      <c r="L30" s="20">
        <v>4763</v>
      </c>
      <c r="M30" s="20">
        <v>0</v>
      </c>
      <c r="O30" s="20"/>
      <c r="Q30" s="20"/>
      <c r="S30" s="20"/>
      <c r="U30" s="20"/>
      <c r="W30" s="20"/>
      <c r="Y30" s="20"/>
      <c r="AA30" s="20"/>
      <c r="AC30" s="20"/>
      <c r="AE30" s="20"/>
      <c r="AG30" s="20"/>
      <c r="AI30" s="20"/>
      <c r="AK30" s="20"/>
      <c r="AM30" s="20"/>
    </row>
    <row r="31" spans="2:39"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O31" s="19"/>
      <c r="Q31" s="19"/>
      <c r="S31" s="19"/>
      <c r="U31" s="19"/>
      <c r="W31" s="19"/>
      <c r="Y31" s="19"/>
      <c r="AA31" s="19"/>
      <c r="AC31" s="19"/>
      <c r="AE31" s="19"/>
      <c r="AG31" s="19"/>
      <c r="AI31" s="19"/>
      <c r="AK31" s="19"/>
      <c r="AM31" s="19"/>
    </row>
    <row r="32" spans="2:39" ht="15" customHeight="1">
      <c r="B32" s="17" t="s">
        <v>56</v>
      </c>
      <c r="C32" s="53">
        <f t="shared" ref="C32:M32" si="2">C30+C28+C21</f>
        <v>83929</v>
      </c>
      <c r="D32" s="53">
        <f t="shared" si="2"/>
        <v>96864</v>
      </c>
      <c r="E32" s="53">
        <f t="shared" si="2"/>
        <v>38190</v>
      </c>
      <c r="F32" s="53">
        <f t="shared" si="2"/>
        <v>30274</v>
      </c>
      <c r="G32" s="53">
        <f t="shared" si="2"/>
        <v>32167</v>
      </c>
      <c r="H32" s="53">
        <f t="shared" si="2"/>
        <v>35694</v>
      </c>
      <c r="I32" s="53">
        <f t="shared" si="2"/>
        <v>39246</v>
      </c>
      <c r="J32" s="53">
        <f t="shared" si="2"/>
        <v>42660</v>
      </c>
      <c r="K32" s="53">
        <f t="shared" si="2"/>
        <v>64617</v>
      </c>
      <c r="L32" s="53">
        <f t="shared" si="2"/>
        <v>70195</v>
      </c>
      <c r="M32" s="53">
        <f t="shared" si="2"/>
        <v>42105</v>
      </c>
      <c r="O32" s="53"/>
      <c r="Q32" s="53"/>
      <c r="S32" s="53"/>
      <c r="U32" s="53"/>
      <c r="W32" s="53"/>
      <c r="Y32" s="53"/>
      <c r="AA32" s="53"/>
      <c r="AC32" s="53"/>
      <c r="AE32" s="53"/>
      <c r="AG32" s="53"/>
      <c r="AI32" s="53"/>
      <c r="AK32" s="53"/>
      <c r="AM32" s="53"/>
    </row>
    <row r="33" spans="2:39"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O33" s="19"/>
      <c r="Q33" s="19"/>
      <c r="S33" s="19"/>
      <c r="U33" s="19"/>
      <c r="W33" s="19"/>
      <c r="Y33" s="19"/>
      <c r="AA33" s="19"/>
      <c r="AC33" s="19"/>
      <c r="AE33" s="19"/>
      <c r="AG33" s="19"/>
      <c r="AI33" s="19"/>
      <c r="AK33" s="19"/>
      <c r="AM33" s="19"/>
    </row>
    <row r="34" spans="2:39" ht="16.5" customHeight="1">
      <c r="B34" s="16" t="s">
        <v>32</v>
      </c>
      <c r="C34" s="54">
        <v>223797</v>
      </c>
      <c r="D34" s="54">
        <v>236624</v>
      </c>
      <c r="E34" s="54">
        <v>135884</v>
      </c>
      <c r="F34" s="54">
        <v>111662</v>
      </c>
      <c r="G34" s="54">
        <v>119541</v>
      </c>
      <c r="H34" s="54">
        <v>127599</v>
      </c>
      <c r="I34" s="54">
        <v>121073</v>
      </c>
      <c r="J34" s="54">
        <v>141072</v>
      </c>
      <c r="K34" s="54">
        <v>219126</v>
      </c>
      <c r="L34" s="54">
        <v>232372</v>
      </c>
      <c r="M34" s="54">
        <v>126340</v>
      </c>
      <c r="O34" s="54"/>
      <c r="Q34" s="54"/>
      <c r="S34" s="54"/>
      <c r="U34" s="54"/>
      <c r="W34" s="54"/>
      <c r="Y34" s="54"/>
      <c r="AA34" s="54"/>
      <c r="AC34" s="54"/>
      <c r="AE34" s="54"/>
      <c r="AG34" s="54"/>
      <c r="AI34" s="54"/>
      <c r="AK34" s="54"/>
      <c r="AM34" s="54"/>
    </row>
    <row r="35" spans="2:39" ht="15" customHeight="1"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O35" s="19"/>
      <c r="Q35" s="19"/>
      <c r="S35" s="19"/>
      <c r="U35" s="19"/>
      <c r="W35" s="19"/>
      <c r="Y35" s="19"/>
      <c r="AA35" s="19"/>
      <c r="AC35" s="19"/>
      <c r="AE35" s="19"/>
      <c r="AG35" s="19"/>
      <c r="AI35" s="19"/>
      <c r="AK35" s="19"/>
      <c r="AM35" s="19"/>
    </row>
    <row r="36" spans="2:39" ht="15.75" customHeight="1">
      <c r="B36" s="16" t="s">
        <v>57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O36" s="19"/>
      <c r="Q36" s="19"/>
      <c r="S36" s="19"/>
      <c r="U36" s="19"/>
      <c r="W36" s="19"/>
      <c r="Y36" s="19"/>
      <c r="AA36" s="19"/>
      <c r="AC36" s="19"/>
      <c r="AE36" s="19"/>
      <c r="AG36" s="19"/>
      <c r="AI36" s="19"/>
      <c r="AK36" s="19"/>
      <c r="AM36" s="19"/>
    </row>
    <row r="37" spans="2:39" ht="15" customHeight="1">
      <c r="B37" s="17" t="s">
        <v>58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O37" s="19"/>
      <c r="Q37" s="19"/>
      <c r="S37" s="19"/>
      <c r="U37" s="19"/>
      <c r="W37" s="19"/>
      <c r="Y37" s="19"/>
      <c r="AA37" s="19"/>
      <c r="AC37" s="19"/>
      <c r="AE37" s="19"/>
      <c r="AG37" s="19"/>
      <c r="AI37" s="19"/>
      <c r="AK37" s="19"/>
      <c r="AM37" s="19"/>
    </row>
    <row r="38" spans="2:39" ht="15" customHeight="1">
      <c r="B38" s="17" t="s">
        <v>59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O38" s="19"/>
      <c r="Q38" s="19"/>
      <c r="S38" s="19"/>
      <c r="U38" s="19"/>
      <c r="W38" s="19"/>
      <c r="Y38" s="19"/>
      <c r="AA38" s="19"/>
      <c r="AC38" s="19"/>
      <c r="AE38" s="19"/>
      <c r="AG38" s="19"/>
      <c r="AI38" s="19"/>
      <c r="AK38" s="19"/>
      <c r="AM38" s="19"/>
    </row>
    <row r="39" spans="2:39">
      <c r="B39" t="s">
        <v>60</v>
      </c>
      <c r="C39" s="19">
        <v>15099</v>
      </c>
      <c r="D39" s="19">
        <v>19304</v>
      </c>
      <c r="E39" s="19">
        <v>23842</v>
      </c>
      <c r="F39" s="19">
        <v>26236</v>
      </c>
      <c r="G39" s="19">
        <v>45800</v>
      </c>
      <c r="H39" s="19">
        <v>51305</v>
      </c>
      <c r="I39" s="19">
        <v>53075</v>
      </c>
      <c r="J39" s="19">
        <v>50319</v>
      </c>
      <c r="K39" s="19">
        <v>73333</v>
      </c>
      <c r="L39" s="19">
        <v>33243</v>
      </c>
      <c r="M39" s="19">
        <v>0</v>
      </c>
      <c r="O39" s="19"/>
      <c r="Q39" s="19"/>
      <c r="S39" s="19"/>
      <c r="U39" s="19"/>
      <c r="W39" s="19"/>
      <c r="Y39" s="19"/>
      <c r="AA39" s="19"/>
      <c r="AC39" s="19"/>
      <c r="AE39" s="19"/>
      <c r="AG39" s="19"/>
      <c r="AI39" s="19"/>
      <c r="AK39" s="19"/>
      <c r="AM39" s="19"/>
    </row>
    <row r="40" spans="2:39">
      <c r="B40" t="s">
        <v>61</v>
      </c>
      <c r="C40" s="19">
        <v>7401</v>
      </c>
      <c r="D40" s="19">
        <v>7282</v>
      </c>
      <c r="E40" s="19">
        <v>6422</v>
      </c>
      <c r="F40" s="19">
        <v>6228</v>
      </c>
      <c r="G40" s="19">
        <v>4398</v>
      </c>
      <c r="H40" s="19">
        <v>4241</v>
      </c>
      <c r="I40" s="19">
        <v>4830</v>
      </c>
      <c r="J40" s="19">
        <v>3179</v>
      </c>
      <c r="K40" s="19">
        <v>7974</v>
      </c>
      <c r="L40" s="19">
        <v>7396</v>
      </c>
      <c r="M40" s="19">
        <v>7385</v>
      </c>
      <c r="O40" s="19"/>
      <c r="Q40" s="19"/>
      <c r="S40" s="19"/>
      <c r="U40" s="19"/>
      <c r="W40" s="19"/>
      <c r="Y40" s="19"/>
      <c r="AA40" s="19"/>
      <c r="AC40" s="19"/>
      <c r="AE40" s="19"/>
      <c r="AG40" s="19"/>
      <c r="AI40" s="19"/>
      <c r="AK40" s="19"/>
      <c r="AM40" s="19"/>
    </row>
    <row r="41" spans="2:39">
      <c r="B41" s="18" t="s">
        <v>62</v>
      </c>
      <c r="C41" s="51">
        <v>22500</v>
      </c>
      <c r="D41" s="51">
        <v>26586</v>
      </c>
      <c r="E41" s="51">
        <v>30264</v>
      </c>
      <c r="F41" s="51">
        <v>32464</v>
      </c>
      <c r="G41" s="51">
        <v>50198</v>
      </c>
      <c r="H41" s="51">
        <v>55546</v>
      </c>
      <c r="I41" s="51">
        <v>57905</v>
      </c>
      <c r="J41" s="51">
        <v>53498</v>
      </c>
      <c r="K41" s="51">
        <v>81307</v>
      </c>
      <c r="L41" s="51">
        <v>40639</v>
      </c>
      <c r="M41" s="51">
        <v>7385</v>
      </c>
      <c r="O41" s="51"/>
      <c r="Q41" s="51"/>
      <c r="S41" s="51"/>
      <c r="U41" s="51"/>
      <c r="W41" s="51"/>
      <c r="Y41" s="51"/>
      <c r="AA41" s="51"/>
      <c r="AC41" s="51"/>
      <c r="AE41" s="51"/>
      <c r="AG41" s="51"/>
      <c r="AI41" s="51"/>
      <c r="AK41" s="51"/>
      <c r="AM41" s="51"/>
    </row>
    <row r="42" spans="2:39"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O42" s="19"/>
      <c r="Q42" s="19"/>
      <c r="S42" s="19"/>
      <c r="U42" s="19"/>
      <c r="W42" s="19"/>
      <c r="Y42" s="19"/>
      <c r="AA42" s="19"/>
      <c r="AC42" s="19"/>
      <c r="AE42" s="19"/>
      <c r="AG42" s="19"/>
      <c r="AI42" s="19"/>
      <c r="AK42" s="19"/>
      <c r="AM42" s="19"/>
    </row>
    <row r="43" spans="2:39">
      <c r="B43" s="18" t="s">
        <v>63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O43" s="19"/>
      <c r="Q43" s="19"/>
      <c r="S43" s="19"/>
      <c r="U43" s="19"/>
      <c r="W43" s="19"/>
      <c r="Y43" s="19"/>
      <c r="AA43" s="19"/>
      <c r="AC43" s="19"/>
      <c r="AE43" s="19"/>
      <c r="AG43" s="19"/>
      <c r="AI43" s="19"/>
      <c r="AK43" s="19"/>
      <c r="AM43" s="19"/>
    </row>
    <row r="44" spans="2:39">
      <c r="B44" t="s">
        <v>64</v>
      </c>
      <c r="C44" s="19">
        <v>55126</v>
      </c>
      <c r="D44" s="19">
        <v>42587</v>
      </c>
      <c r="E44" s="19">
        <v>46793</v>
      </c>
      <c r="F44" s="19">
        <v>31566</v>
      </c>
      <c r="G44" s="19">
        <v>34418</v>
      </c>
      <c r="H44" s="19">
        <v>31859</v>
      </c>
      <c r="I44" s="19">
        <v>20616</v>
      </c>
      <c r="J44" s="19">
        <v>29049</v>
      </c>
      <c r="K44" s="19">
        <v>51972</v>
      </c>
      <c r="L44" s="19">
        <v>52442</v>
      </c>
      <c r="M44" s="19">
        <v>19864</v>
      </c>
      <c r="O44" s="19"/>
      <c r="Q44" s="19"/>
      <c r="S44" s="19"/>
      <c r="U44" s="19"/>
      <c r="W44" s="19"/>
      <c r="Y44" s="19"/>
      <c r="AA44" s="19"/>
      <c r="AC44" s="19"/>
      <c r="AE44" s="19"/>
      <c r="AG44" s="19"/>
      <c r="AI44" s="19"/>
      <c r="AK44" s="19"/>
      <c r="AM44" s="19"/>
    </row>
    <row r="45" spans="2:39">
      <c r="B45" t="s">
        <v>65</v>
      </c>
      <c r="C45" s="50">
        <v>7461</v>
      </c>
      <c r="D45" s="50">
        <v>8680</v>
      </c>
      <c r="E45" s="50">
        <v>6158</v>
      </c>
      <c r="F45" s="50">
        <v>5036</v>
      </c>
      <c r="G45" s="50">
        <v>4853</v>
      </c>
      <c r="H45" s="50">
        <v>5417</v>
      </c>
      <c r="I45" s="50">
        <v>4098</v>
      </c>
      <c r="J45" s="50">
        <v>6834</v>
      </c>
      <c r="K45" s="50">
        <v>10853</v>
      </c>
      <c r="L45" s="50">
        <v>29074</v>
      </c>
      <c r="M45" s="50">
        <v>4584</v>
      </c>
      <c r="O45" s="50"/>
      <c r="Q45" s="50"/>
      <c r="S45" s="50"/>
      <c r="U45" s="50"/>
      <c r="W45" s="50"/>
      <c r="Y45" s="50"/>
      <c r="AA45" s="50"/>
      <c r="AC45" s="50"/>
      <c r="AE45" s="50"/>
      <c r="AG45" s="50"/>
      <c r="AI45" s="50"/>
      <c r="AK45" s="50"/>
      <c r="AM45" s="50"/>
    </row>
    <row r="46" spans="2:39">
      <c r="B46" t="s">
        <v>66</v>
      </c>
      <c r="C46" s="19">
        <f t="shared" ref="C46:M46" si="3">SUM(C44:C45)</f>
        <v>62587</v>
      </c>
      <c r="D46" s="19">
        <f t="shared" si="3"/>
        <v>51267</v>
      </c>
      <c r="E46" s="19">
        <f t="shared" si="3"/>
        <v>52951</v>
      </c>
      <c r="F46" s="19">
        <f t="shared" si="3"/>
        <v>36602</v>
      </c>
      <c r="G46" s="19">
        <f t="shared" si="3"/>
        <v>39271</v>
      </c>
      <c r="H46" s="19">
        <f t="shared" si="3"/>
        <v>37276</v>
      </c>
      <c r="I46" s="19">
        <f t="shared" si="3"/>
        <v>24714</v>
      </c>
      <c r="J46" s="19">
        <f t="shared" si="3"/>
        <v>35883</v>
      </c>
      <c r="K46" s="19">
        <f t="shared" si="3"/>
        <v>62825</v>
      </c>
      <c r="L46" s="19">
        <f t="shared" si="3"/>
        <v>81516</v>
      </c>
      <c r="M46" s="19">
        <f t="shared" si="3"/>
        <v>24448</v>
      </c>
      <c r="O46" s="19"/>
      <c r="Q46" s="19"/>
      <c r="S46" s="19"/>
      <c r="U46" s="19"/>
      <c r="W46" s="19"/>
      <c r="Y46" s="19"/>
      <c r="AA46" s="19"/>
      <c r="AC46" s="19"/>
      <c r="AE46" s="19"/>
      <c r="AG46" s="19"/>
      <c r="AI46" s="19"/>
      <c r="AK46" s="19"/>
      <c r="AM46" s="19"/>
    </row>
    <row r="47" spans="2:39">
      <c r="B47" t="s">
        <v>67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529</v>
      </c>
      <c r="L47" s="19">
        <v>850</v>
      </c>
      <c r="M47" s="19">
        <v>0</v>
      </c>
      <c r="O47" s="19"/>
      <c r="Q47" s="19"/>
      <c r="S47" s="19"/>
      <c r="U47" s="19"/>
      <c r="W47" s="19"/>
      <c r="Y47" s="19"/>
      <c r="AA47" s="19"/>
      <c r="AC47" s="19"/>
      <c r="AE47" s="19"/>
      <c r="AG47" s="19"/>
      <c r="AI47" s="19"/>
      <c r="AK47" s="19"/>
      <c r="AM47" s="19"/>
    </row>
    <row r="48" spans="2:39">
      <c r="B48" s="18" t="s">
        <v>66</v>
      </c>
      <c r="C48" s="51">
        <f t="shared" ref="C48:M48" si="4">SUM(C44:C47)</f>
        <v>125174</v>
      </c>
      <c r="D48" s="51">
        <f t="shared" si="4"/>
        <v>102534</v>
      </c>
      <c r="E48" s="51">
        <f t="shared" si="4"/>
        <v>105902</v>
      </c>
      <c r="F48" s="51">
        <f t="shared" si="4"/>
        <v>73204</v>
      </c>
      <c r="G48" s="51">
        <f t="shared" si="4"/>
        <v>78542</v>
      </c>
      <c r="H48" s="51">
        <f t="shared" si="4"/>
        <v>74552</v>
      </c>
      <c r="I48" s="51">
        <f t="shared" si="4"/>
        <v>49428</v>
      </c>
      <c r="J48" s="51">
        <f t="shared" si="4"/>
        <v>71766</v>
      </c>
      <c r="K48" s="51">
        <f t="shared" si="4"/>
        <v>126179</v>
      </c>
      <c r="L48" s="51">
        <f t="shared" si="4"/>
        <v>163882</v>
      </c>
      <c r="M48" s="51">
        <f t="shared" si="4"/>
        <v>48896</v>
      </c>
      <c r="O48" s="51"/>
      <c r="Q48" s="51"/>
      <c r="S48" s="51"/>
      <c r="U48" s="51"/>
      <c r="W48" s="51"/>
      <c r="Y48" s="51"/>
      <c r="AA48" s="51"/>
      <c r="AC48" s="51"/>
      <c r="AE48" s="51"/>
      <c r="AG48" s="51"/>
      <c r="AI48" s="51"/>
      <c r="AK48" s="51"/>
      <c r="AM48" s="51"/>
    </row>
    <row r="49" spans="2:39"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O49" s="19"/>
      <c r="Q49" s="19"/>
      <c r="S49" s="19"/>
      <c r="U49" s="19"/>
      <c r="W49" s="19"/>
      <c r="Y49" s="19"/>
      <c r="AA49" s="19"/>
      <c r="AC49" s="19"/>
      <c r="AE49" s="19"/>
      <c r="AG49" s="19"/>
      <c r="AI49" s="19"/>
      <c r="AK49" s="19"/>
      <c r="AM49" s="19"/>
    </row>
    <row r="50" spans="2:39" ht="15" customHeight="1">
      <c r="B50" s="17" t="s">
        <v>58</v>
      </c>
      <c r="C50" s="53">
        <v>85087</v>
      </c>
      <c r="D50" s="53">
        <v>77853</v>
      </c>
      <c r="E50" s="53">
        <v>83215</v>
      </c>
      <c r="F50" s="53">
        <v>69066</v>
      </c>
      <c r="G50" s="53">
        <v>89469</v>
      </c>
      <c r="H50" s="53">
        <v>92822</v>
      </c>
      <c r="I50" s="53">
        <v>82619</v>
      </c>
      <c r="J50" s="53">
        <v>89381</v>
      </c>
      <c r="K50" s="53">
        <v>144661</v>
      </c>
      <c r="L50" s="53">
        <v>123005</v>
      </c>
      <c r="M50" s="53">
        <v>31833</v>
      </c>
      <c r="O50" s="53"/>
      <c r="Q50" s="53"/>
      <c r="S50" s="53"/>
      <c r="U50" s="53"/>
      <c r="W50" s="53"/>
      <c r="Y50" s="53"/>
      <c r="AA50" s="53"/>
      <c r="AC50" s="53"/>
      <c r="AE50" s="53"/>
      <c r="AG50" s="53"/>
      <c r="AI50" s="53"/>
      <c r="AK50" s="53"/>
      <c r="AM50" s="53"/>
    </row>
    <row r="51" spans="2:39"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O51" s="19"/>
      <c r="Q51" s="19"/>
      <c r="S51" s="19"/>
      <c r="U51" s="19"/>
      <c r="W51" s="19"/>
      <c r="Y51" s="19"/>
      <c r="AA51" s="19"/>
      <c r="AC51" s="19"/>
      <c r="AE51" s="19"/>
      <c r="AG51" s="19"/>
      <c r="AI51" s="19"/>
      <c r="AK51" s="19"/>
      <c r="AM51" s="19"/>
    </row>
    <row r="52" spans="2:39" ht="15" customHeight="1">
      <c r="B52" s="17" t="s">
        <v>68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O52" s="19"/>
      <c r="Q52" s="19"/>
      <c r="S52" s="19"/>
      <c r="U52" s="19"/>
      <c r="W52" s="19"/>
      <c r="Y52" s="19"/>
      <c r="AA52" s="19"/>
      <c r="AC52" s="19"/>
      <c r="AE52" s="19"/>
      <c r="AG52" s="19"/>
      <c r="AI52" s="19"/>
      <c r="AK52" s="19"/>
      <c r="AM52" s="19"/>
    </row>
    <row r="53" spans="2:39">
      <c r="B53" s="18" t="s">
        <v>69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O53" s="19"/>
      <c r="Q53" s="19"/>
      <c r="S53" s="19"/>
      <c r="U53" s="19"/>
      <c r="W53" s="19"/>
      <c r="Y53" s="19"/>
      <c r="AA53" s="19"/>
      <c r="AC53" s="19"/>
      <c r="AE53" s="19"/>
      <c r="AG53" s="19"/>
      <c r="AI53" s="19"/>
      <c r="AK53" s="19"/>
      <c r="AM53" s="19"/>
    </row>
    <row r="54" spans="2:39">
      <c r="B54" t="s">
        <v>70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O54" s="19"/>
      <c r="Q54" s="19"/>
      <c r="S54" s="19"/>
      <c r="U54" s="19"/>
      <c r="W54" s="19"/>
      <c r="Y54" s="19"/>
      <c r="AA54" s="19"/>
      <c r="AC54" s="19"/>
      <c r="AE54" s="19"/>
      <c r="AG54" s="19"/>
      <c r="AI54" s="19"/>
      <c r="AK54" s="19"/>
      <c r="AM54" s="19"/>
    </row>
    <row r="55" spans="2:39">
      <c r="B55" t="s">
        <v>71</v>
      </c>
      <c r="C55" s="19">
        <v>61733</v>
      </c>
      <c r="D55" s="19">
        <v>69134</v>
      </c>
      <c r="E55" s="19">
        <v>22282</v>
      </c>
      <c r="F55" s="19">
        <v>28732</v>
      </c>
      <c r="G55" s="19">
        <v>25114</v>
      </c>
      <c r="H55" s="19">
        <v>29093</v>
      </c>
      <c r="I55" s="19">
        <v>37410</v>
      </c>
      <c r="J55" s="19">
        <v>41643</v>
      </c>
      <c r="K55" s="19">
        <v>34796</v>
      </c>
      <c r="L55" s="19">
        <v>40922</v>
      </c>
      <c r="M55" s="19">
        <v>46995</v>
      </c>
      <c r="O55" s="19"/>
      <c r="Q55" s="19"/>
      <c r="S55" s="19"/>
      <c r="U55" s="19"/>
      <c r="W55" s="19"/>
      <c r="Y55" s="19"/>
      <c r="AA55" s="19"/>
      <c r="AC55" s="19"/>
      <c r="AE55" s="19"/>
      <c r="AG55" s="19"/>
      <c r="AI55" s="19"/>
      <c r="AK55" s="19"/>
      <c r="AM55" s="19"/>
    </row>
    <row r="56" spans="2:39">
      <c r="B56" t="s">
        <v>72</v>
      </c>
      <c r="C56" s="19">
        <v>5951</v>
      </c>
      <c r="D56" s="19">
        <v>8447</v>
      </c>
      <c r="E56" s="19">
        <v>4189</v>
      </c>
      <c r="F56" s="19">
        <v>0</v>
      </c>
      <c r="G56" s="19">
        <v>1606</v>
      </c>
      <c r="H56" s="19">
        <v>1466</v>
      </c>
      <c r="I56" s="19">
        <v>2044</v>
      </c>
      <c r="J56" s="19">
        <v>0</v>
      </c>
      <c r="K56" s="19">
        <v>0</v>
      </c>
      <c r="L56" s="19">
        <v>0</v>
      </c>
      <c r="M56" s="19">
        <v>2627</v>
      </c>
      <c r="O56" s="19"/>
      <c r="Q56" s="19"/>
      <c r="S56" s="19"/>
      <c r="U56" s="19"/>
      <c r="W56" s="19"/>
      <c r="Y56" s="19"/>
      <c r="AA56" s="19"/>
      <c r="AC56" s="19"/>
      <c r="AE56" s="19"/>
      <c r="AG56" s="19"/>
      <c r="AI56" s="19"/>
      <c r="AK56" s="19"/>
      <c r="AM56" s="19"/>
    </row>
    <row r="57" spans="2:39">
      <c r="B57" s="18" t="s">
        <v>69</v>
      </c>
      <c r="C57" s="51">
        <f t="shared" ref="C57:M57" si="5">SUM(C54:C56)</f>
        <v>67684</v>
      </c>
      <c r="D57" s="51">
        <f t="shared" si="5"/>
        <v>77581</v>
      </c>
      <c r="E57" s="51">
        <f t="shared" si="5"/>
        <v>26471</v>
      </c>
      <c r="F57" s="51">
        <f t="shared" si="5"/>
        <v>28732</v>
      </c>
      <c r="G57" s="51">
        <f t="shared" si="5"/>
        <v>26720</v>
      </c>
      <c r="H57" s="51">
        <f t="shared" si="5"/>
        <v>30559</v>
      </c>
      <c r="I57" s="51">
        <f t="shared" si="5"/>
        <v>39454</v>
      </c>
      <c r="J57" s="51">
        <f t="shared" si="5"/>
        <v>41643</v>
      </c>
      <c r="K57" s="51">
        <f t="shared" si="5"/>
        <v>34796</v>
      </c>
      <c r="L57" s="51">
        <f t="shared" si="5"/>
        <v>40922</v>
      </c>
      <c r="M57" s="51">
        <f t="shared" si="5"/>
        <v>49622</v>
      </c>
      <c r="O57" s="51"/>
      <c r="Q57" s="51"/>
      <c r="S57" s="51"/>
      <c r="U57" s="51"/>
      <c r="W57" s="51"/>
      <c r="Y57" s="51"/>
      <c r="AA57" s="51"/>
      <c r="AC57" s="51"/>
      <c r="AE57" s="51"/>
      <c r="AG57" s="51"/>
      <c r="AI57" s="51"/>
      <c r="AK57" s="51"/>
      <c r="AM57" s="51"/>
    </row>
    <row r="58" spans="2:39"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O58" s="19"/>
      <c r="Q58" s="19"/>
      <c r="S58" s="19"/>
      <c r="U58" s="19"/>
      <c r="W58" s="19"/>
      <c r="Y58" s="19"/>
      <c r="AA58" s="19"/>
      <c r="AC58" s="19"/>
      <c r="AE58" s="19"/>
      <c r="AG58" s="19"/>
      <c r="AI58" s="19"/>
      <c r="AK58" s="19"/>
      <c r="AM58" s="19"/>
    </row>
    <row r="59" spans="2:39">
      <c r="B59" s="18" t="s">
        <v>73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O59" s="19"/>
      <c r="Q59" s="19"/>
      <c r="S59" s="19"/>
      <c r="U59" s="19"/>
      <c r="W59" s="19"/>
      <c r="Y59" s="19"/>
      <c r="AA59" s="19"/>
      <c r="AC59" s="19"/>
      <c r="AE59" s="19"/>
      <c r="AG59" s="19"/>
      <c r="AI59" s="19"/>
      <c r="AK59" s="19"/>
      <c r="AM59" s="19"/>
    </row>
    <row r="60" spans="2:39">
      <c r="B60" t="s">
        <v>74</v>
      </c>
      <c r="C60" s="19">
        <v>0</v>
      </c>
      <c r="D60" s="19">
        <v>0</v>
      </c>
      <c r="E60" s="19">
        <v>326</v>
      </c>
      <c r="F60" s="19">
        <v>0</v>
      </c>
      <c r="G60" s="19">
        <v>0</v>
      </c>
      <c r="H60" s="19">
        <v>0</v>
      </c>
      <c r="I60" s="19">
        <v>0</v>
      </c>
      <c r="J60" s="19">
        <v>753</v>
      </c>
      <c r="K60" s="19">
        <v>5352</v>
      </c>
      <c r="L60" s="19">
        <v>6019</v>
      </c>
      <c r="M60" s="19">
        <v>4964</v>
      </c>
      <c r="O60" s="19"/>
      <c r="Q60" s="19"/>
      <c r="S60" s="19"/>
      <c r="U60" s="19"/>
      <c r="W60" s="19"/>
      <c r="Y60" s="19"/>
      <c r="AA60" s="19"/>
      <c r="AC60" s="19"/>
      <c r="AE60" s="19"/>
      <c r="AG60" s="19"/>
      <c r="AI60" s="19"/>
      <c r="AK60" s="19"/>
      <c r="AM60" s="19"/>
    </row>
    <row r="61" spans="2:39">
      <c r="B61" t="s">
        <v>75</v>
      </c>
      <c r="C61" s="19">
        <v>81</v>
      </c>
      <c r="D61" s="19">
        <v>227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O61" s="19"/>
      <c r="Q61" s="19"/>
      <c r="S61" s="19"/>
      <c r="U61" s="19"/>
      <c r="W61" s="19"/>
      <c r="Y61" s="19"/>
      <c r="AA61" s="19"/>
      <c r="AC61" s="19"/>
      <c r="AE61" s="19"/>
      <c r="AG61" s="19"/>
      <c r="AI61" s="19"/>
      <c r="AK61" s="19"/>
      <c r="AM61" s="19"/>
    </row>
    <row r="62" spans="2:39">
      <c r="B62" t="s">
        <v>76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O62" s="19"/>
      <c r="Q62" s="19"/>
      <c r="S62" s="19"/>
      <c r="U62" s="19"/>
      <c r="W62" s="19"/>
      <c r="Y62" s="19"/>
      <c r="AA62" s="19"/>
      <c r="AC62" s="19"/>
      <c r="AE62" s="19"/>
      <c r="AG62" s="19"/>
      <c r="AI62" s="19"/>
      <c r="AK62" s="19"/>
      <c r="AM62" s="19"/>
    </row>
    <row r="63" spans="2:39">
      <c r="B63" s="18" t="s">
        <v>77</v>
      </c>
      <c r="C63" s="51">
        <v>81</v>
      </c>
      <c r="D63" s="51">
        <v>227</v>
      </c>
      <c r="E63" s="51">
        <v>326</v>
      </c>
      <c r="F63" s="51">
        <v>0</v>
      </c>
      <c r="G63" s="51">
        <v>0</v>
      </c>
      <c r="H63" s="51">
        <v>0</v>
      </c>
      <c r="I63" s="51">
        <v>0</v>
      </c>
      <c r="J63" s="51">
        <v>753</v>
      </c>
      <c r="K63" s="51">
        <v>5352</v>
      </c>
      <c r="L63" s="51">
        <v>6019</v>
      </c>
      <c r="M63" s="51">
        <v>4964</v>
      </c>
      <c r="O63" s="51"/>
      <c r="Q63" s="51"/>
      <c r="S63" s="51"/>
      <c r="U63" s="51"/>
      <c r="W63" s="51"/>
      <c r="Y63" s="51"/>
      <c r="AA63" s="51"/>
      <c r="AC63" s="51"/>
      <c r="AE63" s="51"/>
      <c r="AG63" s="51"/>
      <c r="AI63" s="51"/>
      <c r="AK63" s="51"/>
      <c r="AM63" s="51"/>
    </row>
    <row r="64" spans="2:39"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O64" s="19"/>
      <c r="Q64" s="19"/>
      <c r="S64" s="19"/>
      <c r="U64" s="19"/>
      <c r="W64" s="19"/>
      <c r="Y64" s="19"/>
      <c r="AA64" s="19"/>
      <c r="AC64" s="19"/>
      <c r="AE64" s="19"/>
      <c r="AG64" s="19"/>
      <c r="AI64" s="19"/>
      <c r="AK64" s="19"/>
      <c r="AM64" s="19"/>
    </row>
    <row r="65" spans="2:39">
      <c r="B65" s="85" t="s">
        <v>78</v>
      </c>
      <c r="C65" s="20">
        <v>1359</v>
      </c>
      <c r="D65" s="20">
        <v>2004</v>
      </c>
      <c r="E65" s="20">
        <v>2405</v>
      </c>
      <c r="F65" s="20">
        <v>2587</v>
      </c>
      <c r="G65" s="20">
        <v>3018</v>
      </c>
      <c r="H65" s="20">
        <v>5110</v>
      </c>
      <c r="I65" s="20">
        <v>4925</v>
      </c>
      <c r="J65" s="20">
        <v>4670</v>
      </c>
      <c r="K65" s="20">
        <v>2644</v>
      </c>
      <c r="L65" s="20">
        <v>2845</v>
      </c>
      <c r="M65" s="20">
        <v>0</v>
      </c>
      <c r="O65" s="20"/>
      <c r="Q65" s="20"/>
      <c r="S65" s="20"/>
      <c r="U65" s="20"/>
      <c r="W65" s="20"/>
      <c r="Y65" s="20"/>
      <c r="AA65" s="20"/>
      <c r="AC65" s="20"/>
      <c r="AE65" s="20"/>
      <c r="AG65" s="20"/>
      <c r="AI65" s="20"/>
      <c r="AK65" s="20"/>
      <c r="AM65" s="20"/>
    </row>
    <row r="66" spans="2:39"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O66" s="19"/>
      <c r="Q66" s="19"/>
      <c r="S66" s="19"/>
      <c r="U66" s="19"/>
      <c r="W66" s="19"/>
      <c r="Y66" s="19"/>
      <c r="AA66" s="19"/>
      <c r="AC66" s="19"/>
      <c r="AE66" s="19"/>
      <c r="AG66" s="19"/>
      <c r="AI66" s="19"/>
      <c r="AK66" s="19"/>
      <c r="AM66" s="19"/>
    </row>
    <row r="67" spans="2:39" ht="15.75" customHeight="1">
      <c r="B67" s="16" t="s">
        <v>79</v>
      </c>
      <c r="C67" s="54">
        <v>69124</v>
      </c>
      <c r="D67" s="54">
        <v>79812</v>
      </c>
      <c r="E67" s="54">
        <v>29202</v>
      </c>
      <c r="F67" s="54">
        <v>31319</v>
      </c>
      <c r="G67" s="54">
        <v>29738</v>
      </c>
      <c r="H67" s="54">
        <v>35669</v>
      </c>
      <c r="I67" s="54">
        <v>44379</v>
      </c>
      <c r="J67" s="54">
        <v>47066</v>
      </c>
      <c r="K67" s="54">
        <v>42792</v>
      </c>
      <c r="L67" s="54">
        <v>49786</v>
      </c>
      <c r="M67" s="54">
        <v>54586</v>
      </c>
      <c r="O67" s="54"/>
      <c r="Q67" s="54"/>
      <c r="S67" s="54"/>
      <c r="U67" s="54"/>
      <c r="W67" s="54"/>
      <c r="Y67" s="54"/>
      <c r="AA67" s="54"/>
      <c r="AC67" s="54"/>
      <c r="AE67" s="54"/>
      <c r="AG67" s="54"/>
      <c r="AI67" s="54"/>
      <c r="AK67" s="54"/>
      <c r="AM67" s="54"/>
    </row>
    <row r="68" spans="2:39"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O68" s="19"/>
      <c r="Q68" s="19"/>
      <c r="S68" s="19"/>
      <c r="U68" s="19"/>
      <c r="W68" s="19"/>
      <c r="Y68" s="19"/>
      <c r="AA68" s="19"/>
      <c r="AC68" s="19"/>
      <c r="AE68" s="19"/>
      <c r="AG68" s="19"/>
      <c r="AI68" s="19"/>
      <c r="AK68" s="19"/>
      <c r="AM68" s="19"/>
    </row>
    <row r="69" spans="2:39">
      <c r="B69" s="18" t="s">
        <v>80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O69" s="20"/>
      <c r="Q69" s="20"/>
      <c r="S69" s="20"/>
      <c r="U69" s="20"/>
      <c r="W69" s="20"/>
      <c r="Y69" s="20"/>
      <c r="AA69" s="20"/>
      <c r="AC69" s="20"/>
      <c r="AE69" s="20"/>
      <c r="AG69" s="20"/>
      <c r="AI69" s="20"/>
      <c r="AK69" s="20"/>
      <c r="AM69" s="20"/>
    </row>
    <row r="70" spans="2:39"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O70" s="19"/>
      <c r="Q70" s="19"/>
      <c r="S70" s="19"/>
      <c r="U70" s="19"/>
      <c r="W70" s="19"/>
      <c r="Y70" s="19"/>
      <c r="AA70" s="19"/>
      <c r="AC70" s="19"/>
      <c r="AE70" s="19"/>
      <c r="AG70" s="19"/>
      <c r="AI70" s="19"/>
      <c r="AK70" s="19"/>
      <c r="AM70" s="19"/>
    </row>
    <row r="71" spans="2:39" ht="15.75" customHeight="1">
      <c r="B71" s="16" t="s">
        <v>81</v>
      </c>
      <c r="C71" s="54">
        <v>154211</v>
      </c>
      <c r="D71" s="54">
        <v>157666</v>
      </c>
      <c r="E71" s="54">
        <v>112417</v>
      </c>
      <c r="F71" s="54">
        <v>100385</v>
      </c>
      <c r="G71" s="54">
        <v>119207</v>
      </c>
      <c r="H71" s="54">
        <v>128492</v>
      </c>
      <c r="I71" s="54">
        <v>126998</v>
      </c>
      <c r="J71" s="54">
        <v>136448</v>
      </c>
      <c r="K71" s="54">
        <v>187453</v>
      </c>
      <c r="L71" s="54">
        <v>172792</v>
      </c>
      <c r="M71" s="54">
        <v>86419</v>
      </c>
      <c r="O71" s="54"/>
      <c r="Q71" s="54"/>
      <c r="S71" s="54"/>
      <c r="U71" s="54"/>
      <c r="W71" s="54"/>
      <c r="Y71" s="54"/>
      <c r="AA71" s="54"/>
      <c r="AC71" s="54"/>
      <c r="AE71" s="54"/>
      <c r="AG71" s="54"/>
      <c r="AI71" s="54"/>
      <c r="AK71" s="54"/>
      <c r="AM71" s="54"/>
    </row>
    <row r="72" spans="2:39"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O72" s="19"/>
      <c r="Q72" s="19"/>
      <c r="S72" s="19"/>
      <c r="U72" s="19"/>
      <c r="W72" s="19"/>
      <c r="Y72" s="19"/>
      <c r="AA72" s="19"/>
      <c r="AC72" s="19"/>
      <c r="AE72" s="19"/>
      <c r="AG72" s="19"/>
      <c r="AI72" s="19"/>
      <c r="AK72" s="19"/>
      <c r="AM72" s="19"/>
    </row>
    <row r="73" spans="2:39" ht="15.75" customHeight="1">
      <c r="B73" s="16" t="s">
        <v>82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O73" s="19"/>
      <c r="Q73" s="19"/>
      <c r="S73" s="19"/>
      <c r="U73" s="19"/>
      <c r="W73" s="19"/>
      <c r="Y73" s="19"/>
      <c r="AA73" s="19"/>
      <c r="AC73" s="19"/>
      <c r="AE73" s="19"/>
      <c r="AG73" s="19"/>
      <c r="AI73" s="19"/>
      <c r="AK73" s="19"/>
      <c r="AM73" s="19"/>
    </row>
    <row r="74" spans="2:39">
      <c r="B74" s="18" t="s">
        <v>83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O74" s="19"/>
      <c r="Q74" s="19"/>
      <c r="S74" s="19"/>
      <c r="U74" s="19"/>
      <c r="W74" s="19"/>
      <c r="Y74" s="19"/>
      <c r="AA74" s="19"/>
      <c r="AC74" s="19"/>
      <c r="AE74" s="19"/>
      <c r="AG74" s="19"/>
      <c r="AI74" s="19"/>
      <c r="AK74" s="19"/>
      <c r="AM74" s="19"/>
    </row>
    <row r="75" spans="2:39">
      <c r="B75" t="s">
        <v>84</v>
      </c>
      <c r="C75" s="19">
        <v>118299</v>
      </c>
      <c r="D75" s="19">
        <v>118299</v>
      </c>
      <c r="E75" s="19">
        <v>65830</v>
      </c>
      <c r="F75" s="19">
        <v>61900</v>
      </c>
      <c r="G75" s="19">
        <v>61900</v>
      </c>
      <c r="H75" s="19">
        <v>58000</v>
      </c>
      <c r="I75" s="19">
        <v>52856</v>
      </c>
      <c r="J75" s="19">
        <v>27577</v>
      </c>
      <c r="K75" s="19">
        <v>22577</v>
      </c>
      <c r="L75" s="19">
        <v>22577</v>
      </c>
      <c r="M75" s="19">
        <v>19628</v>
      </c>
      <c r="O75" s="19"/>
      <c r="Q75" s="19"/>
      <c r="S75" s="19"/>
      <c r="U75" s="19"/>
      <c r="W75" s="19"/>
      <c r="Y75" s="19"/>
      <c r="AA75" s="19"/>
      <c r="AC75" s="19"/>
      <c r="AE75" s="19"/>
      <c r="AG75" s="19"/>
      <c r="AI75" s="19"/>
      <c r="AK75" s="19"/>
      <c r="AM75" s="19"/>
    </row>
    <row r="76" spans="2:39">
      <c r="B76" t="s">
        <v>85</v>
      </c>
      <c r="C76" s="19">
        <v>7199</v>
      </c>
      <c r="D76" s="19">
        <v>7153</v>
      </c>
      <c r="E76" s="19">
        <v>7283</v>
      </c>
      <c r="F76" s="19">
        <v>7177</v>
      </c>
      <c r="G76" s="19">
        <v>6907</v>
      </c>
      <c r="H76" s="19">
        <v>9614</v>
      </c>
      <c r="I76" s="19">
        <v>6463</v>
      </c>
      <c r="J76" s="19">
        <v>1888</v>
      </c>
      <c r="K76" s="19">
        <v>5760</v>
      </c>
      <c r="L76" s="19">
        <v>5712</v>
      </c>
      <c r="M76" s="19">
        <v>4801</v>
      </c>
      <c r="O76" s="19"/>
      <c r="Q76" s="19"/>
      <c r="S76" s="19"/>
      <c r="U76" s="19"/>
      <c r="W76" s="19"/>
      <c r="Y76" s="19"/>
      <c r="AA76" s="19"/>
      <c r="AC76" s="19"/>
      <c r="AE76" s="19"/>
      <c r="AG76" s="19"/>
      <c r="AI76" s="19"/>
      <c r="AK76" s="19"/>
      <c r="AM76" s="19"/>
    </row>
    <row r="77" spans="2:39">
      <c r="B77" s="18" t="s">
        <v>83</v>
      </c>
      <c r="C77" s="51">
        <v>125498</v>
      </c>
      <c r="D77" s="51">
        <v>125452</v>
      </c>
      <c r="E77" s="51">
        <v>73113</v>
      </c>
      <c r="F77" s="51">
        <v>69077</v>
      </c>
      <c r="G77" s="51">
        <v>68807</v>
      </c>
      <c r="H77" s="51">
        <v>67614</v>
      </c>
      <c r="I77" s="51">
        <v>59319</v>
      </c>
      <c r="J77" s="51">
        <v>29465</v>
      </c>
      <c r="K77" s="51">
        <v>28337</v>
      </c>
      <c r="L77" s="51">
        <v>28289</v>
      </c>
      <c r="M77" s="51">
        <v>24429</v>
      </c>
      <c r="O77" s="51"/>
      <c r="Q77" s="51"/>
      <c r="S77" s="51"/>
      <c r="U77" s="51"/>
      <c r="W77" s="51"/>
      <c r="Y77" s="51"/>
      <c r="AA77" s="51"/>
      <c r="AC77" s="51"/>
      <c r="AE77" s="51"/>
      <c r="AG77" s="51"/>
      <c r="AI77" s="51"/>
      <c r="AK77" s="51"/>
      <c r="AM77" s="51"/>
    </row>
    <row r="78" spans="2:39"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O78" s="19"/>
      <c r="Q78" s="19"/>
      <c r="S78" s="19"/>
      <c r="U78" s="19"/>
      <c r="W78" s="19"/>
      <c r="Y78" s="19"/>
      <c r="AA78" s="19"/>
      <c r="AC78" s="19"/>
      <c r="AE78" s="19"/>
      <c r="AG78" s="19"/>
      <c r="AI78" s="19"/>
      <c r="AK78" s="19"/>
      <c r="AM78" s="19"/>
    </row>
    <row r="79" spans="2:39">
      <c r="B79" s="18" t="s">
        <v>86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25279</v>
      </c>
      <c r="K79" s="20">
        <v>25279</v>
      </c>
      <c r="L79" s="20">
        <v>25279</v>
      </c>
      <c r="M79" s="20">
        <v>26220</v>
      </c>
      <c r="O79" s="20"/>
      <c r="Q79" s="20"/>
      <c r="S79" s="20"/>
      <c r="U79" s="20"/>
      <c r="W79" s="20"/>
      <c r="Y79" s="20"/>
      <c r="AA79" s="20"/>
      <c r="AC79" s="20"/>
      <c r="AE79" s="20"/>
      <c r="AG79" s="20"/>
      <c r="AI79" s="20"/>
      <c r="AK79" s="20"/>
      <c r="AM79" s="20"/>
    </row>
    <row r="80" spans="2:39"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O80" s="19"/>
      <c r="Q80" s="19"/>
      <c r="S80" s="19"/>
      <c r="U80" s="19"/>
      <c r="W80" s="19"/>
      <c r="Y80" s="19"/>
      <c r="AA80" s="19"/>
      <c r="AC80" s="19"/>
      <c r="AE80" s="19"/>
      <c r="AG80" s="19"/>
      <c r="AI80" s="19"/>
      <c r="AK80" s="19"/>
      <c r="AM80" s="19"/>
    </row>
    <row r="81" spans="2:39">
      <c r="B81" s="18" t="s">
        <v>87</v>
      </c>
      <c r="C81" s="20">
        <v>-53774</v>
      </c>
      <c r="D81" s="20">
        <v>-44356</v>
      </c>
      <c r="E81" s="20">
        <v>-52540</v>
      </c>
      <c r="F81" s="20">
        <v>-59127</v>
      </c>
      <c r="G81" s="20">
        <v>-65300</v>
      </c>
      <c r="H81" s="20">
        <v>-65334</v>
      </c>
      <c r="I81" s="20">
        <v>-55746</v>
      </c>
      <c r="J81" s="20">
        <v>-44978</v>
      </c>
      <c r="K81" s="20">
        <v>-12859</v>
      </c>
      <c r="L81" s="20">
        <v>15096</v>
      </c>
      <c r="M81" s="20">
        <v>10654</v>
      </c>
      <c r="O81" s="20"/>
      <c r="Q81" s="20"/>
      <c r="S81" s="20"/>
      <c r="U81" s="20"/>
      <c r="W81" s="20"/>
      <c r="Y81" s="20"/>
      <c r="AA81" s="20"/>
      <c r="AC81" s="20"/>
      <c r="AE81" s="20"/>
      <c r="AG81" s="20"/>
      <c r="AI81" s="20"/>
      <c r="AK81" s="20"/>
      <c r="AM81" s="20"/>
    </row>
    <row r="82" spans="2:39">
      <c r="B82" s="18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O82" s="20"/>
      <c r="Q82" s="20"/>
      <c r="S82" s="20"/>
      <c r="U82" s="20"/>
      <c r="W82" s="20"/>
      <c r="Y82" s="20"/>
      <c r="AA82" s="20"/>
      <c r="AC82" s="20"/>
      <c r="AE82" s="20"/>
      <c r="AG82" s="20"/>
      <c r="AI82" s="20"/>
      <c r="AK82" s="20"/>
      <c r="AM82" s="20"/>
    </row>
    <row r="83" spans="2:39">
      <c r="B83" s="18" t="s">
        <v>88</v>
      </c>
      <c r="C83" s="20">
        <v>-2138</v>
      </c>
      <c r="D83" s="20">
        <v>-2138</v>
      </c>
      <c r="E83" s="20">
        <v>2893</v>
      </c>
      <c r="F83" s="20">
        <v>1327</v>
      </c>
      <c r="G83" s="20">
        <v>-3173</v>
      </c>
      <c r="H83" s="20">
        <v>-3173</v>
      </c>
      <c r="I83" s="20">
        <v>-9498</v>
      </c>
      <c r="J83" s="20">
        <v>-5142</v>
      </c>
      <c r="K83" s="20">
        <v>-9084</v>
      </c>
      <c r="L83" s="20">
        <v>-9084</v>
      </c>
      <c r="M83" s="20">
        <v>-21382</v>
      </c>
      <c r="O83" s="20"/>
      <c r="Q83" s="20"/>
      <c r="S83" s="20"/>
      <c r="U83" s="20"/>
      <c r="W83" s="20"/>
      <c r="Y83" s="20"/>
      <c r="AA83" s="20"/>
      <c r="AC83" s="20"/>
      <c r="AE83" s="20"/>
      <c r="AG83" s="20"/>
      <c r="AI83" s="20"/>
      <c r="AK83" s="20"/>
      <c r="AM83" s="20"/>
    </row>
    <row r="84" spans="2:39">
      <c r="B84" s="18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O84" s="20"/>
      <c r="Q84" s="20"/>
      <c r="S84" s="20"/>
      <c r="U84" s="20"/>
      <c r="W84" s="20"/>
      <c r="Y84" s="20"/>
      <c r="AA84" s="20"/>
      <c r="AC84" s="20"/>
      <c r="AE84" s="20"/>
      <c r="AG84" s="20"/>
      <c r="AI84" s="20"/>
      <c r="AK84" s="20"/>
      <c r="AM84" s="20"/>
    </row>
    <row r="85" spans="2:39">
      <c r="B85" s="18" t="s">
        <v>89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O85" s="20"/>
      <c r="Q85" s="20"/>
      <c r="S85" s="20"/>
      <c r="U85" s="20"/>
      <c r="W85" s="20"/>
      <c r="Y85" s="20"/>
      <c r="AA85" s="20"/>
      <c r="AC85" s="20"/>
      <c r="AE85" s="20"/>
      <c r="AG85" s="20"/>
      <c r="AI85" s="20"/>
      <c r="AK85" s="20"/>
      <c r="AM85" s="20"/>
    </row>
    <row r="86" spans="2:39">
      <c r="B86" s="18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O86" s="20"/>
      <c r="Q86" s="20"/>
      <c r="S86" s="20"/>
      <c r="U86" s="20"/>
      <c r="W86" s="20"/>
      <c r="Y86" s="20"/>
      <c r="AA86" s="20"/>
      <c r="AC86" s="20"/>
      <c r="AE86" s="20"/>
      <c r="AG86" s="20"/>
      <c r="AI86" s="20"/>
      <c r="AK86" s="20"/>
      <c r="AM86" s="20"/>
    </row>
    <row r="87" spans="2:39" ht="15.75" customHeight="1">
      <c r="B87" s="16" t="s">
        <v>82</v>
      </c>
      <c r="C87" s="54">
        <f t="shared" ref="C87:F87" si="6">C77+C81+C83</f>
        <v>69586</v>
      </c>
      <c r="D87" s="54">
        <f t="shared" si="6"/>
        <v>78958</v>
      </c>
      <c r="E87" s="54">
        <f t="shared" si="6"/>
        <v>23466</v>
      </c>
      <c r="F87" s="54">
        <f t="shared" si="6"/>
        <v>11277</v>
      </c>
      <c r="G87" s="54">
        <f>G77+G81+G83</f>
        <v>334</v>
      </c>
      <c r="H87" s="54">
        <v>-893</v>
      </c>
      <c r="I87" s="54">
        <v>-5925</v>
      </c>
      <c r="J87" s="54">
        <v>4624</v>
      </c>
      <c r="K87" s="54">
        <v>31673</v>
      </c>
      <c r="L87" s="54">
        <v>59580</v>
      </c>
      <c r="M87" s="54">
        <v>39921</v>
      </c>
      <c r="O87" s="54"/>
      <c r="Q87" s="54"/>
      <c r="S87" s="54"/>
      <c r="U87" s="54"/>
      <c r="W87" s="54"/>
      <c r="Y87" s="54"/>
      <c r="AA87" s="54"/>
      <c r="AC87" s="54"/>
      <c r="AE87" s="54"/>
      <c r="AG87" s="54"/>
      <c r="AI87" s="54"/>
      <c r="AK87" s="54"/>
      <c r="AM87" s="54"/>
    </row>
    <row r="88" spans="2:39"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O88" s="19"/>
      <c r="Q88" s="19"/>
      <c r="S88" s="19"/>
      <c r="U88" s="19"/>
      <c r="W88" s="19"/>
      <c r="Y88" s="19"/>
      <c r="AA88" s="19"/>
      <c r="AC88" s="19"/>
      <c r="AE88" s="19"/>
      <c r="AG88" s="19"/>
      <c r="AI88" s="19"/>
      <c r="AK88" s="19"/>
      <c r="AM88" s="19"/>
    </row>
    <row r="89" spans="2:39" ht="16.5" customHeight="1">
      <c r="B89" s="16" t="s">
        <v>90</v>
      </c>
      <c r="C89" s="54">
        <v>223797</v>
      </c>
      <c r="D89" s="54">
        <v>236624</v>
      </c>
      <c r="E89" s="54">
        <v>135884</v>
      </c>
      <c r="F89" s="54">
        <v>111662</v>
      </c>
      <c r="G89" s="54">
        <v>119541</v>
      </c>
      <c r="H89" s="54">
        <v>127599</v>
      </c>
      <c r="I89" s="54">
        <v>121073</v>
      </c>
      <c r="J89" s="54">
        <v>141072</v>
      </c>
      <c r="K89" s="54">
        <v>219126</v>
      </c>
      <c r="L89" s="54">
        <v>232372</v>
      </c>
      <c r="M89" s="54">
        <v>126340</v>
      </c>
      <c r="O89" s="54"/>
      <c r="Q89" s="54"/>
      <c r="S89" s="54"/>
      <c r="U89" s="54"/>
      <c r="W89" s="54"/>
      <c r="Y89" s="54"/>
      <c r="AA89" s="54"/>
      <c r="AC89" s="54"/>
      <c r="AE89" s="54"/>
      <c r="AG89" s="54"/>
      <c r="AI89" s="54"/>
      <c r="AK89" s="54"/>
      <c r="AM89" s="54"/>
    </row>
    <row r="90" spans="2:39" ht="15" customHeight="1"/>
    <row r="92" spans="2:39" s="14" customFormat="1">
      <c r="B92" s="13" t="s">
        <v>31</v>
      </c>
      <c r="C92" s="14">
        <v>2016</v>
      </c>
      <c r="D92" s="14">
        <f t="shared" ref="D92:M92" si="7">C92-1</f>
        <v>2015</v>
      </c>
      <c r="E92" s="14">
        <f t="shared" si="7"/>
        <v>2014</v>
      </c>
      <c r="F92" s="14">
        <f t="shared" si="7"/>
        <v>2013</v>
      </c>
      <c r="G92" s="14">
        <f t="shared" si="7"/>
        <v>2012</v>
      </c>
      <c r="H92" s="14">
        <f t="shared" si="7"/>
        <v>2011</v>
      </c>
      <c r="I92" s="14">
        <f t="shared" si="7"/>
        <v>2010</v>
      </c>
      <c r="J92" s="14">
        <f t="shared" si="7"/>
        <v>2009</v>
      </c>
      <c r="K92" s="14">
        <f t="shared" si="7"/>
        <v>2008</v>
      </c>
      <c r="L92" s="14">
        <f t="shared" si="7"/>
        <v>2007</v>
      </c>
      <c r="M92" s="14">
        <f t="shared" si="7"/>
        <v>2006</v>
      </c>
    </row>
    <row r="94" spans="2:39" ht="15.75" customHeight="1">
      <c r="B94" s="16" t="s">
        <v>32</v>
      </c>
    </row>
    <row r="95" spans="2:39" ht="15" customHeight="1">
      <c r="B95" s="17" t="s">
        <v>33</v>
      </c>
    </row>
    <row r="96" spans="2:39">
      <c r="B96" s="18" t="s">
        <v>34</v>
      </c>
    </row>
    <row r="97" spans="2:39">
      <c r="B97" t="s">
        <v>35</v>
      </c>
      <c r="C97" s="21">
        <f t="shared" ref="C97:M97" si="8">C2/C34</f>
        <v>5.4066855230409702E-2</v>
      </c>
      <c r="D97" s="21">
        <f t="shared" si="8"/>
        <v>4.9737135708972882E-2</v>
      </c>
      <c r="E97" s="21">
        <f t="shared" si="8"/>
        <v>4.4832357010391219E-2</v>
      </c>
      <c r="F97" s="21">
        <f t="shared" si="8"/>
        <v>3.0780390822303022E-2</v>
      </c>
      <c r="G97" s="21">
        <f t="shared" si="8"/>
        <v>3.3687186822931044E-2</v>
      </c>
      <c r="H97" s="21">
        <f t="shared" si="8"/>
        <v>1.518820680412856E-2</v>
      </c>
      <c r="I97" s="21">
        <f t="shared" si="8"/>
        <v>2.491059113097057E-2</v>
      </c>
      <c r="J97" s="21">
        <f t="shared" si="8"/>
        <v>3.2210502438471136E-2</v>
      </c>
      <c r="K97" s="21">
        <f t="shared" si="8"/>
        <v>1.042322681927293E-2</v>
      </c>
      <c r="L97" s="21">
        <f t="shared" si="8"/>
        <v>1.1899023978792625E-2</v>
      </c>
      <c r="M97" s="21">
        <f t="shared" si="8"/>
        <v>3.2238404305841378E-2</v>
      </c>
      <c r="O97" s="21"/>
      <c r="Q97" s="21"/>
      <c r="S97" s="21"/>
      <c r="U97" s="21"/>
      <c r="W97" s="21"/>
      <c r="Y97" s="21"/>
      <c r="AA97" s="21"/>
      <c r="AC97" s="21"/>
      <c r="AE97" s="21"/>
      <c r="AG97" s="21"/>
      <c r="AI97" s="21"/>
      <c r="AK97" s="21"/>
      <c r="AM97" s="21"/>
    </row>
    <row r="98" spans="2:39">
      <c r="B98" t="s">
        <v>36</v>
      </c>
      <c r="C98" s="22">
        <f t="shared" ref="C98:M98" si="9">C3/C34</f>
        <v>0</v>
      </c>
      <c r="D98" s="22">
        <f t="shared" si="9"/>
        <v>0</v>
      </c>
      <c r="E98" s="22">
        <f t="shared" si="9"/>
        <v>0</v>
      </c>
      <c r="F98" s="22">
        <f t="shared" si="9"/>
        <v>0</v>
      </c>
      <c r="G98" s="22">
        <f t="shared" si="9"/>
        <v>0</v>
      </c>
      <c r="H98" s="22">
        <f t="shared" si="9"/>
        <v>0</v>
      </c>
      <c r="I98" s="22">
        <f t="shared" si="9"/>
        <v>0</v>
      </c>
      <c r="J98" s="22">
        <f t="shared" si="9"/>
        <v>0</v>
      </c>
      <c r="K98" s="22">
        <f t="shared" si="9"/>
        <v>0</v>
      </c>
      <c r="L98" s="22">
        <f t="shared" si="9"/>
        <v>0</v>
      </c>
      <c r="M98" s="22">
        <f t="shared" si="9"/>
        <v>0</v>
      </c>
      <c r="O98" s="22"/>
      <c r="Q98" s="22"/>
      <c r="S98" s="22"/>
      <c r="U98" s="22"/>
      <c r="W98" s="22"/>
      <c r="Y98" s="22"/>
      <c r="AA98" s="22"/>
      <c r="AC98" s="22"/>
      <c r="AE98" s="22"/>
      <c r="AG98" s="22"/>
      <c r="AI98" s="22"/>
      <c r="AK98" s="22"/>
      <c r="AM98" s="22"/>
    </row>
    <row r="99" spans="2:39">
      <c r="B99" t="s">
        <v>37</v>
      </c>
      <c r="C99" s="21">
        <f t="shared" ref="C99:M99" si="10">SUM(C97:C98)</f>
        <v>5.4066855230409702E-2</v>
      </c>
      <c r="D99" s="21">
        <f t="shared" si="10"/>
        <v>4.9737135708972882E-2</v>
      </c>
      <c r="E99" s="21">
        <f t="shared" si="10"/>
        <v>4.4832357010391219E-2</v>
      </c>
      <c r="F99" s="21">
        <f t="shared" si="10"/>
        <v>3.0780390822303022E-2</v>
      </c>
      <c r="G99" s="21">
        <f t="shared" si="10"/>
        <v>3.3687186822931044E-2</v>
      </c>
      <c r="H99" s="21">
        <f t="shared" si="10"/>
        <v>1.518820680412856E-2</v>
      </c>
      <c r="I99" s="21">
        <f t="shared" si="10"/>
        <v>2.491059113097057E-2</v>
      </c>
      <c r="J99" s="21">
        <f t="shared" si="10"/>
        <v>3.2210502438471136E-2</v>
      </c>
      <c r="K99" s="21">
        <f t="shared" si="10"/>
        <v>1.042322681927293E-2</v>
      </c>
      <c r="L99" s="21">
        <f t="shared" si="10"/>
        <v>1.1899023978792625E-2</v>
      </c>
      <c r="M99" s="21">
        <f t="shared" si="10"/>
        <v>3.2238404305841378E-2</v>
      </c>
      <c r="O99" s="21"/>
      <c r="Q99" s="21"/>
      <c r="S99" s="21"/>
      <c r="U99" s="21"/>
      <c r="W99" s="21"/>
      <c r="Y99" s="21"/>
      <c r="AA99" s="21"/>
      <c r="AC99" s="21"/>
      <c r="AE99" s="21"/>
      <c r="AG99" s="21"/>
      <c r="AI99" s="21"/>
      <c r="AK99" s="21"/>
      <c r="AM99" s="21"/>
    </row>
    <row r="100" spans="2:39">
      <c r="B100" t="s">
        <v>38</v>
      </c>
      <c r="C100" s="22">
        <f t="shared" ref="C100:M100" si="11">C5/C34</f>
        <v>3.6685031524104432E-3</v>
      </c>
      <c r="D100" s="22">
        <f t="shared" si="11"/>
        <v>2.2736493339644329E-3</v>
      </c>
      <c r="E100" s="22">
        <f t="shared" si="11"/>
        <v>0</v>
      </c>
      <c r="F100" s="22">
        <f t="shared" si="11"/>
        <v>0</v>
      </c>
      <c r="G100" s="22">
        <f t="shared" si="11"/>
        <v>0</v>
      </c>
      <c r="H100" s="22">
        <f t="shared" si="11"/>
        <v>0</v>
      </c>
      <c r="I100" s="22">
        <f t="shared" si="11"/>
        <v>0</v>
      </c>
      <c r="J100" s="22">
        <f t="shared" si="11"/>
        <v>0</v>
      </c>
      <c r="K100" s="22">
        <f t="shared" si="11"/>
        <v>0</v>
      </c>
      <c r="L100" s="22">
        <f t="shared" si="11"/>
        <v>0</v>
      </c>
      <c r="M100" s="22">
        <f t="shared" si="11"/>
        <v>0</v>
      </c>
      <c r="O100" s="22"/>
      <c r="Q100" s="22"/>
      <c r="S100" s="22"/>
      <c r="U100" s="22"/>
      <c r="W100" s="22"/>
      <c r="Y100" s="22"/>
      <c r="AA100" s="22"/>
      <c r="AC100" s="22"/>
      <c r="AE100" s="22"/>
      <c r="AG100" s="22"/>
      <c r="AI100" s="22"/>
      <c r="AK100" s="22"/>
      <c r="AM100" s="22"/>
    </row>
    <row r="101" spans="2:39">
      <c r="B101" s="18" t="s">
        <v>34</v>
      </c>
      <c r="C101" s="23">
        <f t="shared" ref="C101:M101" si="12">C6/C34</f>
        <v>5.7735358382820144E-2</v>
      </c>
      <c r="D101" s="23">
        <f t="shared" si="12"/>
        <v>5.2010785042937317E-2</v>
      </c>
      <c r="E101" s="23">
        <f t="shared" si="12"/>
        <v>4.4832357010391219E-2</v>
      </c>
      <c r="F101" s="23">
        <f t="shared" si="12"/>
        <v>3.0780390822303022E-2</v>
      </c>
      <c r="G101" s="23">
        <f t="shared" si="12"/>
        <v>3.3687186822931044E-2</v>
      </c>
      <c r="H101" s="23">
        <f t="shared" si="12"/>
        <v>1.518820680412856E-2</v>
      </c>
      <c r="I101" s="23">
        <f t="shared" si="12"/>
        <v>2.491059113097057E-2</v>
      </c>
      <c r="J101" s="23">
        <f t="shared" si="12"/>
        <v>3.2210502438471136E-2</v>
      </c>
      <c r="K101" s="23">
        <f t="shared" si="12"/>
        <v>1.042322681927293E-2</v>
      </c>
      <c r="L101" s="23">
        <f t="shared" si="12"/>
        <v>1.1899023978792625E-2</v>
      </c>
      <c r="M101" s="23">
        <f t="shared" si="12"/>
        <v>3.2238404305841378E-2</v>
      </c>
      <c r="O101" s="23"/>
      <c r="Q101" s="23"/>
      <c r="S101" s="23"/>
      <c r="U101" s="23"/>
      <c r="W101" s="23"/>
      <c r="Y101" s="23"/>
      <c r="AA101" s="23"/>
      <c r="AC101" s="23"/>
      <c r="AE101" s="23"/>
      <c r="AG101" s="23"/>
      <c r="AI101" s="23"/>
      <c r="AK101" s="23"/>
      <c r="AM101" s="23"/>
    </row>
    <row r="102" spans="2:39">
      <c r="B102" s="18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O102" s="20"/>
      <c r="Q102" s="20"/>
      <c r="S102" s="20"/>
      <c r="U102" s="20"/>
      <c r="W102" s="20"/>
      <c r="Y102" s="20"/>
      <c r="AA102" s="20"/>
      <c r="AC102" s="20"/>
      <c r="AE102" s="20"/>
      <c r="AG102" s="20"/>
      <c r="AI102" s="20"/>
      <c r="AK102" s="20"/>
      <c r="AM102" s="20"/>
    </row>
    <row r="103" spans="2:39">
      <c r="B103" s="18" t="s">
        <v>39</v>
      </c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O103" s="19"/>
      <c r="Q103" s="19"/>
      <c r="S103" s="19"/>
      <c r="U103" s="19"/>
      <c r="W103" s="19"/>
      <c r="Y103" s="19"/>
      <c r="AA103" s="19"/>
      <c r="AC103" s="19"/>
      <c r="AE103" s="19"/>
      <c r="AG103" s="19"/>
      <c r="AI103" s="19"/>
      <c r="AK103" s="19"/>
      <c r="AM103" s="19"/>
    </row>
    <row r="104" spans="2:39">
      <c r="B104" t="s">
        <v>40</v>
      </c>
      <c r="C104" s="21">
        <f t="shared" ref="C104:M104" si="13">C7/C34</f>
        <v>0.47250856803263674</v>
      </c>
      <c r="D104" s="21">
        <f t="shared" si="13"/>
        <v>0.40702549191967002</v>
      </c>
      <c r="E104" s="21">
        <f t="shared" si="13"/>
        <v>0.43663713167113127</v>
      </c>
      <c r="F104" s="21">
        <f t="shared" si="13"/>
        <v>0.47725278071322386</v>
      </c>
      <c r="G104" s="21">
        <f t="shared" si="13"/>
        <v>0.42173814841769769</v>
      </c>
      <c r="H104" s="21">
        <f t="shared" si="13"/>
        <v>0.44030125627943795</v>
      </c>
      <c r="I104" s="21">
        <f t="shared" si="13"/>
        <v>0.33596260107538428</v>
      </c>
      <c r="J104" s="21">
        <f t="shared" si="13"/>
        <v>0.3364948395145741</v>
      </c>
      <c r="K104" s="21">
        <f t="shared" si="13"/>
        <v>0.37868623531666712</v>
      </c>
      <c r="L104" s="21">
        <f t="shared" si="13"/>
        <v>0.37563045461587452</v>
      </c>
      <c r="M104" s="21">
        <f t="shared" si="13"/>
        <v>0.3294918473959158</v>
      </c>
      <c r="O104" s="21"/>
      <c r="Q104" s="21"/>
      <c r="S104" s="21"/>
      <c r="U104" s="21"/>
      <c r="W104" s="21"/>
      <c r="Y104" s="21"/>
      <c r="AA104" s="21"/>
      <c r="AC104" s="21"/>
      <c r="AE104" s="21"/>
      <c r="AG104" s="21"/>
      <c r="AI104" s="21"/>
      <c r="AK104" s="21"/>
      <c r="AM104" s="21"/>
    </row>
    <row r="105" spans="2:39">
      <c r="B105" t="s">
        <v>41</v>
      </c>
      <c r="C105" s="21">
        <f t="shared" ref="C105:M105" si="14">C8/C34</f>
        <v>1.545597125966836E-2</v>
      </c>
      <c r="D105" s="21">
        <f t="shared" si="14"/>
        <v>2.5479241328014064E-2</v>
      </c>
      <c r="E105" s="21">
        <f t="shared" si="14"/>
        <v>3.0643784404344881E-2</v>
      </c>
      <c r="F105" s="21">
        <f t="shared" si="14"/>
        <v>1.9048557253138938E-2</v>
      </c>
      <c r="G105" s="21">
        <f t="shared" si="14"/>
        <v>1.2522900092855171E-2</v>
      </c>
      <c r="H105" s="21">
        <f t="shared" si="14"/>
        <v>1.7014239923510373E-2</v>
      </c>
      <c r="I105" s="21">
        <f t="shared" si="14"/>
        <v>1.8484715832596862E-2</v>
      </c>
      <c r="J105" s="21">
        <f t="shared" si="14"/>
        <v>2.0181184076216399E-2</v>
      </c>
      <c r="K105" s="21">
        <f t="shared" si="14"/>
        <v>2.68886394129405E-2</v>
      </c>
      <c r="L105" s="21">
        <f t="shared" si="14"/>
        <v>2.6022928752173241E-2</v>
      </c>
      <c r="M105" s="21">
        <f t="shared" si="14"/>
        <v>3.3544403989235395E-2</v>
      </c>
      <c r="O105" s="21"/>
      <c r="Q105" s="21"/>
      <c r="S105" s="21"/>
      <c r="U105" s="21"/>
      <c r="W105" s="21"/>
      <c r="Y105" s="21"/>
      <c r="AA105" s="21"/>
      <c r="AC105" s="21"/>
      <c r="AE105" s="21"/>
      <c r="AG105" s="21"/>
      <c r="AI105" s="21"/>
      <c r="AK105" s="21"/>
      <c r="AM105" s="21"/>
    </row>
    <row r="106" spans="2:39">
      <c r="B106" s="18" t="s">
        <v>39</v>
      </c>
      <c r="C106" s="23">
        <f t="shared" ref="C106:M106" si="15">SUM(C104:C105)</f>
        <v>0.4879645392923051</v>
      </c>
      <c r="D106" s="23">
        <f t="shared" si="15"/>
        <v>0.43250473324768407</v>
      </c>
      <c r="E106" s="23">
        <f t="shared" si="15"/>
        <v>0.46728091607547617</v>
      </c>
      <c r="F106" s="23">
        <f t="shared" si="15"/>
        <v>0.49630133796636278</v>
      </c>
      <c r="G106" s="23">
        <f t="shared" si="15"/>
        <v>0.43426104851055286</v>
      </c>
      <c r="H106" s="23">
        <f t="shared" si="15"/>
        <v>0.45731549620294831</v>
      </c>
      <c r="I106" s="23">
        <f t="shared" si="15"/>
        <v>0.35444731690798115</v>
      </c>
      <c r="J106" s="23">
        <f t="shared" si="15"/>
        <v>0.35667602359079048</v>
      </c>
      <c r="K106" s="23">
        <f t="shared" si="15"/>
        <v>0.40557487472960763</v>
      </c>
      <c r="L106" s="23">
        <f t="shared" si="15"/>
        <v>0.40165338336804779</v>
      </c>
      <c r="M106" s="23">
        <f t="shared" si="15"/>
        <v>0.36303625138515122</v>
      </c>
      <c r="O106" s="23"/>
      <c r="Q106" s="23"/>
      <c r="S106" s="23"/>
      <c r="U106" s="23"/>
      <c r="W106" s="23"/>
      <c r="Y106" s="23"/>
      <c r="AA106" s="23"/>
      <c r="AC106" s="23"/>
      <c r="AE106" s="23"/>
      <c r="AG106" s="23"/>
      <c r="AI106" s="23"/>
      <c r="AK106" s="23"/>
      <c r="AM106" s="23"/>
    </row>
    <row r="107" spans="2:39"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O107" s="19"/>
      <c r="Q107" s="19"/>
      <c r="S107" s="19"/>
      <c r="U107" s="19"/>
      <c r="W107" s="19"/>
      <c r="Y107" s="19"/>
      <c r="AA107" s="19"/>
      <c r="AC107" s="19"/>
      <c r="AE107" s="19"/>
      <c r="AG107" s="19"/>
      <c r="AI107" s="19"/>
      <c r="AK107" s="19"/>
      <c r="AM107" s="19"/>
    </row>
    <row r="108" spans="2:39" ht="15" customHeight="1">
      <c r="B108" s="17" t="s">
        <v>42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O108" s="19"/>
      <c r="Q108" s="19"/>
      <c r="S108" s="19"/>
      <c r="U108" s="19"/>
      <c r="W108" s="19"/>
      <c r="Y108" s="19"/>
      <c r="AA108" s="19"/>
      <c r="AC108" s="19"/>
      <c r="AE108" s="19"/>
      <c r="AG108" s="19"/>
      <c r="AI108" s="19"/>
      <c r="AK108" s="19"/>
      <c r="AM108" s="19"/>
    </row>
    <row r="109" spans="2:39">
      <c r="B109" t="s">
        <v>43</v>
      </c>
      <c r="C109" s="21">
        <f t="shared" ref="C109:M109" si="16">C10/C34</f>
        <v>3.3557196923998091E-2</v>
      </c>
      <c r="D109" s="21">
        <f t="shared" si="16"/>
        <v>4.0490398268983707E-2</v>
      </c>
      <c r="E109" s="21">
        <f t="shared" si="16"/>
        <v>9.6869388596155542E-2</v>
      </c>
      <c r="F109" s="21">
        <f t="shared" si="16"/>
        <v>0.10427002919524996</v>
      </c>
      <c r="G109" s="21">
        <f t="shared" si="16"/>
        <v>0</v>
      </c>
      <c r="H109" s="21">
        <f t="shared" si="16"/>
        <v>0.11076105612112948</v>
      </c>
      <c r="I109" s="21">
        <f t="shared" si="16"/>
        <v>0.14594500838337202</v>
      </c>
      <c r="J109" s="21">
        <f t="shared" si="16"/>
        <v>0.10964613814222525</v>
      </c>
      <c r="K109" s="21">
        <f t="shared" si="16"/>
        <v>0.11602913392294845</v>
      </c>
      <c r="L109" s="21">
        <f t="shared" si="16"/>
        <v>0.10730638803298159</v>
      </c>
      <c r="M109" s="21">
        <f t="shared" si="16"/>
        <v>7.2526515751147699E-2</v>
      </c>
      <c r="O109" s="21"/>
      <c r="Q109" s="21"/>
      <c r="S109" s="21"/>
      <c r="U109" s="21"/>
      <c r="W109" s="21"/>
      <c r="Y109" s="21"/>
      <c r="AA109" s="21"/>
      <c r="AC109" s="21"/>
      <c r="AE109" s="21"/>
      <c r="AG109" s="21"/>
      <c r="AI109" s="21"/>
      <c r="AK109" s="21"/>
      <c r="AM109" s="21"/>
    </row>
    <row r="110" spans="2:39">
      <c r="B110" t="s">
        <v>44</v>
      </c>
      <c r="C110" s="21">
        <f t="shared" ref="C110:M110" si="17">C11/C34</f>
        <v>3.8758339030460644E-2</v>
      </c>
      <c r="D110" s="21">
        <f t="shared" si="17"/>
        <v>5.9550172425451346E-2</v>
      </c>
      <c r="E110" s="21">
        <f t="shared" si="17"/>
        <v>0.10996143769685908</v>
      </c>
      <c r="F110" s="21">
        <f t="shared" si="17"/>
        <v>9.7526463792516699E-2</v>
      </c>
      <c r="G110" s="21">
        <f t="shared" si="17"/>
        <v>0</v>
      </c>
      <c r="H110" s="21">
        <f t="shared" si="17"/>
        <v>0.13547128112289281</v>
      </c>
      <c r="I110" s="21">
        <f t="shared" si="17"/>
        <v>0.14961221742254674</v>
      </c>
      <c r="J110" s="21">
        <f t="shared" si="17"/>
        <v>0.19322757173641827</v>
      </c>
      <c r="K110" s="21">
        <f t="shared" si="17"/>
        <v>0.16726449622591569</v>
      </c>
      <c r="L110" s="21">
        <f t="shared" si="17"/>
        <v>0.1767037336684282</v>
      </c>
      <c r="M110" s="21">
        <f t="shared" si="17"/>
        <v>0.19893145480449581</v>
      </c>
      <c r="O110" s="21"/>
      <c r="Q110" s="21"/>
      <c r="S110" s="21"/>
      <c r="U110" s="21"/>
      <c r="W110" s="21"/>
      <c r="Y110" s="21"/>
      <c r="AA110" s="21"/>
      <c r="AC110" s="21"/>
      <c r="AE110" s="21"/>
      <c r="AG110" s="21"/>
      <c r="AI110" s="21"/>
      <c r="AK110" s="21"/>
      <c r="AM110" s="21"/>
    </row>
    <row r="111" spans="2:39">
      <c r="B111" s="18" t="s">
        <v>42</v>
      </c>
      <c r="C111" s="23">
        <f t="shared" ref="C111:M111" si="18">SUM(C109:C110)</f>
        <v>7.2315535954458735E-2</v>
      </c>
      <c r="D111" s="23">
        <f t="shared" si="18"/>
        <v>0.10004057069443506</v>
      </c>
      <c r="E111" s="23">
        <f t="shared" si="18"/>
        <v>0.20683082629301464</v>
      </c>
      <c r="F111" s="23">
        <f t="shared" si="18"/>
        <v>0.20179649298776664</v>
      </c>
      <c r="G111" s="23">
        <f t="shared" si="18"/>
        <v>0</v>
      </c>
      <c r="H111" s="23">
        <f t="shared" si="18"/>
        <v>0.24623233724402227</v>
      </c>
      <c r="I111" s="23">
        <f t="shared" si="18"/>
        <v>0.29555722580591876</v>
      </c>
      <c r="J111" s="23">
        <f t="shared" si="18"/>
        <v>0.30287370987864354</v>
      </c>
      <c r="K111" s="23">
        <f t="shared" si="18"/>
        <v>0.28329363014886411</v>
      </c>
      <c r="L111" s="23">
        <f t="shared" si="18"/>
        <v>0.28401012170140982</v>
      </c>
      <c r="M111" s="23">
        <f t="shared" si="18"/>
        <v>0.27145797055564352</v>
      </c>
      <c r="O111" s="23"/>
      <c r="Q111" s="23"/>
      <c r="S111" s="23"/>
      <c r="U111" s="23"/>
      <c r="W111" s="23"/>
      <c r="Y111" s="23"/>
      <c r="AA111" s="23"/>
      <c r="AC111" s="23"/>
      <c r="AE111" s="23"/>
      <c r="AG111" s="23"/>
      <c r="AI111" s="23"/>
      <c r="AK111" s="23"/>
      <c r="AM111" s="23"/>
    </row>
    <row r="112" spans="2:39"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O112" s="19"/>
      <c r="Q112" s="19"/>
      <c r="S112" s="19"/>
      <c r="U112" s="19"/>
      <c r="W112" s="19"/>
      <c r="Y112" s="19"/>
      <c r="AA112" s="19"/>
      <c r="AC112" s="19"/>
      <c r="AE112" s="19"/>
      <c r="AG112" s="19"/>
      <c r="AI112" s="19"/>
      <c r="AK112" s="19"/>
      <c r="AM112" s="19"/>
    </row>
    <row r="113" spans="2:39">
      <c r="B113" s="18" t="s">
        <v>45</v>
      </c>
      <c r="C113" s="24">
        <f t="shared" ref="C113:M113" si="19">C13/C34</f>
        <v>6.9616661528081256E-3</v>
      </c>
      <c r="D113" s="24">
        <f t="shared" si="19"/>
        <v>6.0813780512543108E-3</v>
      </c>
      <c r="E113" s="24">
        <f t="shared" si="19"/>
        <v>0</v>
      </c>
      <c r="F113" s="24">
        <f t="shared" si="19"/>
        <v>0</v>
      </c>
      <c r="G113" s="24">
        <f t="shared" si="19"/>
        <v>4.7682385123095841E-4</v>
      </c>
      <c r="H113" s="24">
        <f t="shared" si="19"/>
        <v>1.5203880908157587E-3</v>
      </c>
      <c r="I113" s="24">
        <f t="shared" si="19"/>
        <v>9.3332121942960034E-4</v>
      </c>
      <c r="J113" s="24">
        <f t="shared" si="19"/>
        <v>5.8339004196438695E-3</v>
      </c>
      <c r="K113" s="24">
        <f t="shared" si="19"/>
        <v>5.8185701377289779E-3</v>
      </c>
      <c r="L113" s="24">
        <f t="shared" si="19"/>
        <v>3.5288244711066739E-4</v>
      </c>
      <c r="M113" s="24">
        <f t="shared" si="19"/>
        <v>0</v>
      </c>
      <c r="O113" s="24"/>
      <c r="Q113" s="24"/>
      <c r="S113" s="24"/>
      <c r="U113" s="24"/>
      <c r="W113" s="24"/>
      <c r="Y113" s="24"/>
      <c r="AA113" s="24"/>
      <c r="AC113" s="24"/>
      <c r="AE113" s="24"/>
      <c r="AG113" s="24"/>
      <c r="AI113" s="24"/>
      <c r="AK113" s="24"/>
      <c r="AM113" s="24"/>
    </row>
    <row r="114" spans="2:39"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O114" s="19"/>
      <c r="Q114" s="19"/>
      <c r="S114" s="19"/>
      <c r="U114" s="19"/>
      <c r="W114" s="19"/>
      <c r="Y114" s="19"/>
      <c r="AA114" s="19"/>
      <c r="AC114" s="19"/>
      <c r="AE114" s="19"/>
      <c r="AG114" s="19"/>
      <c r="AI114" s="19"/>
      <c r="AK114" s="19"/>
      <c r="AM114" s="19"/>
    </row>
    <row r="115" spans="2:39" ht="15" customHeight="1">
      <c r="B115" s="17" t="s">
        <v>33</v>
      </c>
      <c r="C115" s="25">
        <f t="shared" ref="C115:M115" si="20">C113+C111+C106+C101</f>
        <v>0.62497709978239213</v>
      </c>
      <c r="D115" s="25">
        <f t="shared" si="20"/>
        <v>0.5906374670363107</v>
      </c>
      <c r="E115" s="25">
        <f t="shared" si="20"/>
        <v>0.71894409937888204</v>
      </c>
      <c r="F115" s="25">
        <f t="shared" si="20"/>
        <v>0.72887822177643247</v>
      </c>
      <c r="G115" s="25">
        <f t="shared" si="20"/>
        <v>0.46842505918471483</v>
      </c>
      <c r="H115" s="25">
        <f t="shared" si="20"/>
        <v>0.72025642834191494</v>
      </c>
      <c r="I115" s="25">
        <f t="shared" si="20"/>
        <v>0.67584845506430014</v>
      </c>
      <c r="J115" s="25">
        <f t="shared" si="20"/>
        <v>0.69759413632754907</v>
      </c>
      <c r="K115" s="25">
        <f t="shared" si="20"/>
        <v>0.70511030183547352</v>
      </c>
      <c r="L115" s="25">
        <f t="shared" si="20"/>
        <v>0.69791541149536096</v>
      </c>
      <c r="M115" s="25">
        <f t="shared" si="20"/>
        <v>0.6667326262466361</v>
      </c>
      <c r="O115" s="25"/>
      <c r="Q115" s="25"/>
      <c r="S115" s="25"/>
      <c r="U115" s="25"/>
      <c r="W115" s="25"/>
      <c r="Y115" s="25"/>
      <c r="AA115" s="25"/>
      <c r="AC115" s="25"/>
      <c r="AE115" s="25"/>
      <c r="AG115" s="25"/>
      <c r="AI115" s="25"/>
      <c r="AK115" s="25"/>
      <c r="AM115" s="25"/>
    </row>
    <row r="116" spans="2:39"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O116" s="19"/>
      <c r="Q116" s="19"/>
      <c r="S116" s="19"/>
      <c r="U116" s="19"/>
      <c r="W116" s="19"/>
      <c r="Y116" s="19"/>
      <c r="AA116" s="19"/>
      <c r="AC116" s="19"/>
      <c r="AE116" s="19"/>
      <c r="AG116" s="19"/>
      <c r="AI116" s="19"/>
      <c r="AK116" s="19"/>
      <c r="AM116" s="19"/>
    </row>
    <row r="117" spans="2:39" ht="15" customHeight="1">
      <c r="B117" s="17" t="s">
        <v>46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O117" s="19"/>
      <c r="Q117" s="19"/>
      <c r="S117" s="19"/>
      <c r="U117" s="19"/>
      <c r="W117" s="19"/>
      <c r="Y117" s="19"/>
      <c r="AA117" s="19"/>
      <c r="AC117" s="19"/>
      <c r="AE117" s="19"/>
      <c r="AG117" s="19"/>
      <c r="AI117" s="19"/>
      <c r="AK117" s="19"/>
      <c r="AM117" s="19"/>
    </row>
    <row r="118" spans="2:39">
      <c r="B118" s="18" t="s">
        <v>47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O118" s="19"/>
      <c r="Q118" s="19"/>
      <c r="S118" s="19"/>
      <c r="U118" s="19"/>
      <c r="W118" s="19"/>
      <c r="Y118" s="19"/>
      <c r="AA118" s="19"/>
      <c r="AC118" s="19"/>
      <c r="AE118" s="19"/>
      <c r="AG118" s="19"/>
      <c r="AI118" s="19"/>
      <c r="AK118" s="19"/>
      <c r="AM118" s="19"/>
    </row>
    <row r="119" spans="2:39">
      <c r="B119" t="s">
        <v>48</v>
      </c>
      <c r="C119" s="21">
        <f t="shared" ref="C119:M119" si="21">C18/C34</f>
        <v>0.13236996027650058</v>
      </c>
      <c r="D119" s="21">
        <f t="shared" si="21"/>
        <v>0.1319519575360065</v>
      </c>
      <c r="E119" s="21">
        <f t="shared" si="21"/>
        <v>0.19255394306908835</v>
      </c>
      <c r="F119" s="21">
        <f t="shared" si="21"/>
        <v>0.21260589994805754</v>
      </c>
      <c r="G119" s="21">
        <f t="shared" si="21"/>
        <v>0.21191055788390595</v>
      </c>
      <c r="H119" s="21">
        <f t="shared" si="21"/>
        <v>0.22272901825249414</v>
      </c>
      <c r="I119" s="21">
        <f t="shared" si="21"/>
        <v>0.2614786120770114</v>
      </c>
      <c r="J119" s="21">
        <f t="shared" si="21"/>
        <v>0.25353720086197118</v>
      </c>
      <c r="K119" s="21">
        <f t="shared" si="21"/>
        <v>0.25734508912680376</v>
      </c>
      <c r="L119" s="21">
        <f t="shared" si="21"/>
        <v>0.2522420945724958</v>
      </c>
      <c r="M119" s="21">
        <f t="shared" si="21"/>
        <v>0.21916257717270857</v>
      </c>
      <c r="O119" s="21"/>
      <c r="Q119" s="21"/>
      <c r="S119" s="21"/>
      <c r="U119" s="21"/>
      <c r="W119" s="21"/>
      <c r="Y119" s="21"/>
      <c r="AA119" s="21"/>
      <c r="AC119" s="21"/>
      <c r="AE119" s="21"/>
      <c r="AG119" s="21"/>
      <c r="AI119" s="21"/>
      <c r="AK119" s="21"/>
      <c r="AM119" s="21"/>
    </row>
    <row r="120" spans="2:39">
      <c r="B120" t="s">
        <v>49</v>
      </c>
      <c r="C120" s="21">
        <f t="shared" ref="C120:M120" si="22">C19/C34</f>
        <v>9.5130855194663026E-3</v>
      </c>
      <c r="D120" s="21">
        <f t="shared" si="22"/>
        <v>8.5494286293867055E-3</v>
      </c>
      <c r="E120" s="21">
        <f t="shared" si="22"/>
        <v>0</v>
      </c>
      <c r="F120" s="21">
        <f t="shared" si="22"/>
        <v>1.3621464777632498E-2</v>
      </c>
      <c r="G120" s="21">
        <f t="shared" si="22"/>
        <v>0</v>
      </c>
      <c r="H120" s="21">
        <f t="shared" si="22"/>
        <v>0</v>
      </c>
      <c r="I120" s="21">
        <f t="shared" si="22"/>
        <v>0</v>
      </c>
      <c r="J120" s="21">
        <f t="shared" si="22"/>
        <v>1.7522966995576726E-2</v>
      </c>
      <c r="K120" s="21">
        <f t="shared" si="22"/>
        <v>1.8651369531684968E-2</v>
      </c>
      <c r="L120" s="21">
        <f t="shared" si="22"/>
        <v>2.0325168264679051E-2</v>
      </c>
      <c r="M120" s="21">
        <f t="shared" si="22"/>
        <v>2.7964223523824602E-2</v>
      </c>
      <c r="O120" s="21"/>
      <c r="Q120" s="21"/>
      <c r="S120" s="21"/>
      <c r="U120" s="21"/>
      <c r="W120" s="21"/>
      <c r="Y120" s="21"/>
      <c r="AA120" s="21"/>
      <c r="AC120" s="21"/>
      <c r="AE120" s="21"/>
      <c r="AG120" s="21"/>
      <c r="AI120" s="21"/>
      <c r="AK120" s="21"/>
      <c r="AM120" s="21"/>
    </row>
    <row r="121" spans="2:39">
      <c r="B121" t="s">
        <v>50</v>
      </c>
      <c r="C121" s="21">
        <f t="shared" ref="C121:M121" si="23">C20/C34</f>
        <v>2.0554341657841703E-3</v>
      </c>
      <c r="D121" s="21">
        <f t="shared" si="23"/>
        <v>3.5710663330854012E-3</v>
      </c>
      <c r="E121" s="21">
        <f t="shared" si="23"/>
        <v>1.1907214977480792E-2</v>
      </c>
      <c r="F121" s="21">
        <f t="shared" si="23"/>
        <v>1.522451684548011E-4</v>
      </c>
      <c r="G121" s="21">
        <f t="shared" si="23"/>
        <v>1.5969416350875433E-2</v>
      </c>
      <c r="H121" s="21">
        <f t="shared" si="23"/>
        <v>1.5094162179954388E-2</v>
      </c>
      <c r="I121" s="21">
        <f t="shared" si="23"/>
        <v>2.3539517481189036E-2</v>
      </c>
      <c r="J121" s="21">
        <f t="shared" si="23"/>
        <v>0</v>
      </c>
      <c r="K121" s="21">
        <f t="shared" si="23"/>
        <v>0</v>
      </c>
      <c r="L121" s="21">
        <f t="shared" si="23"/>
        <v>0</v>
      </c>
      <c r="M121" s="21">
        <f t="shared" si="23"/>
        <v>0</v>
      </c>
      <c r="O121" s="21"/>
      <c r="Q121" s="21"/>
      <c r="S121" s="21"/>
      <c r="U121" s="21"/>
      <c r="W121" s="21"/>
      <c r="Y121" s="21"/>
      <c r="AA121" s="21"/>
      <c r="AC121" s="21"/>
      <c r="AE121" s="21"/>
      <c r="AG121" s="21"/>
      <c r="AI121" s="21"/>
      <c r="AK121" s="21"/>
      <c r="AM121" s="21"/>
    </row>
    <row r="122" spans="2:39">
      <c r="B122" s="18" t="s">
        <v>47</v>
      </c>
      <c r="C122" s="23">
        <f t="shared" ref="C122:M122" si="24">SUM(C119:C121)</f>
        <v>0.14393847996175105</v>
      </c>
      <c r="D122" s="23">
        <f t="shared" si="24"/>
        <v>0.14407245249847861</v>
      </c>
      <c r="E122" s="23">
        <f t="shared" si="24"/>
        <v>0.20446115804656914</v>
      </c>
      <c r="F122" s="23">
        <f t="shared" si="24"/>
        <v>0.22637960989414482</v>
      </c>
      <c r="G122" s="23">
        <f t="shared" si="24"/>
        <v>0.22787997423478137</v>
      </c>
      <c r="H122" s="23">
        <f t="shared" si="24"/>
        <v>0.23782318043244852</v>
      </c>
      <c r="I122" s="23">
        <f t="shared" si="24"/>
        <v>0.28501812955820044</v>
      </c>
      <c r="J122" s="23">
        <f t="shared" si="24"/>
        <v>0.27106016785754788</v>
      </c>
      <c r="K122" s="23">
        <f t="shared" si="24"/>
        <v>0.27599645865848871</v>
      </c>
      <c r="L122" s="23">
        <f t="shared" si="24"/>
        <v>0.27256726283717486</v>
      </c>
      <c r="M122" s="23">
        <f t="shared" si="24"/>
        <v>0.24712680069653317</v>
      </c>
      <c r="O122" s="23"/>
      <c r="Q122" s="23"/>
      <c r="S122" s="23"/>
      <c r="U122" s="23"/>
      <c r="W122" s="23"/>
      <c r="Y122" s="23"/>
      <c r="AA122" s="23"/>
      <c r="AC122" s="23"/>
      <c r="AE122" s="23"/>
      <c r="AG122" s="23"/>
      <c r="AI122" s="23"/>
      <c r="AK122" s="23"/>
      <c r="AM122" s="23"/>
    </row>
    <row r="123" spans="2:39"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O123" s="19"/>
      <c r="Q123" s="19"/>
      <c r="S123" s="19"/>
      <c r="U123" s="19"/>
      <c r="W123" s="19"/>
      <c r="Y123" s="19"/>
      <c r="AA123" s="19"/>
      <c r="AC123" s="19"/>
      <c r="AE123" s="19"/>
      <c r="AG123" s="19"/>
      <c r="AI123" s="19"/>
      <c r="AK123" s="19"/>
      <c r="AM123" s="19"/>
    </row>
    <row r="124" spans="2:39">
      <c r="B124" s="18" t="s">
        <v>51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O124" s="19"/>
      <c r="Q124" s="19"/>
      <c r="S124" s="19"/>
      <c r="U124" s="19"/>
      <c r="W124" s="19"/>
      <c r="Y124" s="19"/>
      <c r="AA124" s="19"/>
      <c r="AC124" s="19"/>
      <c r="AE124" s="19"/>
      <c r="AG124" s="19"/>
      <c r="AI124" s="19"/>
      <c r="AK124" s="19"/>
      <c r="AM124" s="19"/>
    </row>
    <row r="125" spans="2:39">
      <c r="B125" t="s">
        <v>52</v>
      </c>
      <c r="C125" s="21">
        <f t="shared" ref="C125:M125" si="25">C24/C34</f>
        <v>1.2377288346135114E-2</v>
      </c>
      <c r="D125" s="21">
        <f t="shared" si="25"/>
        <v>0</v>
      </c>
      <c r="E125" s="21">
        <f t="shared" si="25"/>
        <v>0</v>
      </c>
      <c r="F125" s="21">
        <f t="shared" si="25"/>
        <v>0</v>
      </c>
      <c r="G125" s="21">
        <f t="shared" si="25"/>
        <v>0</v>
      </c>
      <c r="H125" s="21">
        <f t="shared" si="25"/>
        <v>0</v>
      </c>
      <c r="I125" s="21">
        <f t="shared" si="25"/>
        <v>0</v>
      </c>
      <c r="J125" s="21">
        <f t="shared" si="25"/>
        <v>0</v>
      </c>
      <c r="K125" s="21">
        <f t="shared" si="25"/>
        <v>0</v>
      </c>
      <c r="L125" s="21">
        <f t="shared" si="25"/>
        <v>0</v>
      </c>
      <c r="M125" s="21">
        <f t="shared" si="25"/>
        <v>8.0148804812410948E-2</v>
      </c>
      <c r="O125" s="21"/>
      <c r="Q125" s="21"/>
      <c r="S125" s="21"/>
      <c r="U125" s="21"/>
      <c r="W125" s="21"/>
      <c r="Y125" s="21"/>
      <c r="AA125" s="21"/>
      <c r="AC125" s="21"/>
      <c r="AE125" s="21"/>
      <c r="AG125" s="21"/>
      <c r="AI125" s="21"/>
      <c r="AK125" s="21"/>
      <c r="AM125" s="21"/>
    </row>
    <row r="126" spans="2:39">
      <c r="B126" t="s">
        <v>53</v>
      </c>
      <c r="C126" s="21">
        <f t="shared" ref="C126:M126" si="26">C25/C34</f>
        <v>0</v>
      </c>
      <c r="D126" s="21">
        <f t="shared" si="26"/>
        <v>0</v>
      </c>
      <c r="E126" s="21">
        <f t="shared" si="26"/>
        <v>0</v>
      </c>
      <c r="F126" s="21">
        <f t="shared" si="26"/>
        <v>0</v>
      </c>
      <c r="G126" s="21">
        <f t="shared" si="26"/>
        <v>0</v>
      </c>
      <c r="H126" s="21">
        <f t="shared" si="26"/>
        <v>0</v>
      </c>
      <c r="I126" s="21">
        <f t="shared" si="26"/>
        <v>0</v>
      </c>
      <c r="J126" s="21">
        <f t="shared" si="26"/>
        <v>0</v>
      </c>
      <c r="K126" s="21">
        <f t="shared" si="26"/>
        <v>0</v>
      </c>
      <c r="L126" s="21">
        <f t="shared" si="26"/>
        <v>0</v>
      </c>
      <c r="M126" s="21">
        <f t="shared" si="26"/>
        <v>0</v>
      </c>
      <c r="O126" s="21"/>
      <c r="Q126" s="21"/>
      <c r="S126" s="21"/>
      <c r="U126" s="21"/>
      <c r="W126" s="21"/>
      <c r="Y126" s="21"/>
      <c r="AA126" s="21"/>
      <c r="AC126" s="21"/>
      <c r="AE126" s="21"/>
      <c r="AG126" s="21"/>
      <c r="AI126" s="21"/>
      <c r="AK126" s="21"/>
      <c r="AM126" s="21"/>
    </row>
    <row r="127" spans="2:39">
      <c r="B127" t="s">
        <v>54</v>
      </c>
      <c r="C127" s="21">
        <f t="shared" ref="C127:M127" si="27">C26/C34</f>
        <v>0</v>
      </c>
      <c r="D127" s="21">
        <f t="shared" si="27"/>
        <v>0</v>
      </c>
      <c r="E127" s="21">
        <f t="shared" si="27"/>
        <v>0</v>
      </c>
      <c r="F127" s="21">
        <f t="shared" si="27"/>
        <v>0</v>
      </c>
      <c r="G127" s="21">
        <f t="shared" si="27"/>
        <v>0</v>
      </c>
      <c r="H127" s="21">
        <f t="shared" si="27"/>
        <v>0</v>
      </c>
      <c r="I127" s="21">
        <f t="shared" si="27"/>
        <v>0</v>
      </c>
      <c r="J127" s="21">
        <f t="shared" si="27"/>
        <v>0</v>
      </c>
      <c r="K127" s="21">
        <f t="shared" si="27"/>
        <v>0</v>
      </c>
      <c r="L127" s="21">
        <f t="shared" si="27"/>
        <v>0</v>
      </c>
      <c r="M127" s="21">
        <f t="shared" si="27"/>
        <v>0</v>
      </c>
      <c r="O127" s="21"/>
      <c r="Q127" s="21"/>
      <c r="S127" s="21"/>
      <c r="U127" s="21"/>
      <c r="W127" s="21"/>
      <c r="Y127" s="21"/>
      <c r="AA127" s="21"/>
      <c r="AC127" s="21"/>
      <c r="AE127" s="21"/>
      <c r="AG127" s="21"/>
      <c r="AI127" s="21"/>
      <c r="AK127" s="21"/>
      <c r="AM127" s="21"/>
    </row>
    <row r="128" spans="2:39">
      <c r="B128" t="s">
        <v>51</v>
      </c>
      <c r="C128" s="21">
        <f t="shared" ref="C128:M128" si="28">C27/C34</f>
        <v>3.3735930329718451E-3</v>
      </c>
      <c r="D128" s="21">
        <f t="shared" si="28"/>
        <v>0</v>
      </c>
      <c r="E128" s="21">
        <f t="shared" si="28"/>
        <v>0</v>
      </c>
      <c r="F128" s="21">
        <f t="shared" si="28"/>
        <v>0</v>
      </c>
      <c r="G128" s="21">
        <f t="shared" si="28"/>
        <v>0</v>
      </c>
      <c r="H128" s="21">
        <f t="shared" si="28"/>
        <v>0</v>
      </c>
      <c r="I128" s="21">
        <f t="shared" si="28"/>
        <v>0</v>
      </c>
      <c r="J128" s="21">
        <f t="shared" si="28"/>
        <v>0</v>
      </c>
      <c r="K128" s="21">
        <f t="shared" si="28"/>
        <v>0</v>
      </c>
      <c r="L128" s="21">
        <f t="shared" si="28"/>
        <v>0</v>
      </c>
      <c r="M128" s="21">
        <f t="shared" si="28"/>
        <v>5.9917682444198192E-3</v>
      </c>
      <c r="O128" s="21"/>
      <c r="Q128" s="21"/>
      <c r="S128" s="21"/>
      <c r="U128" s="21"/>
      <c r="W128" s="21"/>
      <c r="Y128" s="21"/>
      <c r="AA128" s="21"/>
      <c r="AC128" s="21"/>
      <c r="AE128" s="21"/>
      <c r="AG128" s="21"/>
      <c r="AI128" s="21"/>
      <c r="AK128" s="21"/>
      <c r="AM128" s="21"/>
    </row>
    <row r="129" spans="2:39">
      <c r="B129" s="18" t="s">
        <v>46</v>
      </c>
      <c r="C129" s="23">
        <f>SUM(C125:C128)</f>
        <v>1.5750881379106959E-2</v>
      </c>
      <c r="D129" s="23">
        <f>SUM(D125:D128)</f>
        <v>0</v>
      </c>
      <c r="E129" s="23">
        <f t="shared" ref="E129:L129" si="29">D28/D34</f>
        <v>4.623368719994591E-3</v>
      </c>
      <c r="F129" s="23">
        <f t="shared" si="29"/>
        <v>2.0024432604280121E-2</v>
      </c>
      <c r="G129" s="23">
        <f t="shared" si="29"/>
        <v>2.2200927799967761E-2</v>
      </c>
      <c r="H129" s="23">
        <f t="shared" si="29"/>
        <v>1.8872186111877933E-2</v>
      </c>
      <c r="I129" s="23">
        <f t="shared" si="29"/>
        <v>2.0783861942491714E-2</v>
      </c>
      <c r="J129" s="23">
        <f t="shared" si="29"/>
        <v>1.7088863743361445E-2</v>
      </c>
      <c r="K129" s="23">
        <f t="shared" si="29"/>
        <v>1.0923500056708632E-2</v>
      </c>
      <c r="L129" s="23">
        <f t="shared" si="29"/>
        <v>5.3895932020846457E-3</v>
      </c>
      <c r="M129" s="23">
        <f>SUM(M125:M128)</f>
        <v>8.614057305683076E-2</v>
      </c>
      <c r="O129" s="23"/>
      <c r="Q129" s="23"/>
      <c r="S129" s="23"/>
      <c r="U129" s="23"/>
      <c r="W129" s="23"/>
      <c r="Y129" s="23"/>
      <c r="AA129" s="23"/>
      <c r="AC129" s="23"/>
      <c r="AE129" s="23"/>
      <c r="AG129" s="23"/>
      <c r="AI129" s="23"/>
      <c r="AK129" s="23"/>
      <c r="AM129" s="23"/>
    </row>
    <row r="130" spans="2:39"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O130" s="19"/>
      <c r="Q130" s="19"/>
      <c r="S130" s="19"/>
      <c r="U130" s="19"/>
      <c r="W130" s="19"/>
      <c r="Y130" s="19"/>
      <c r="AA130" s="19"/>
      <c r="AC130" s="19"/>
      <c r="AE130" s="19"/>
      <c r="AG130" s="19"/>
      <c r="AI130" s="19"/>
      <c r="AK130" s="19"/>
      <c r="AM130" s="19"/>
    </row>
    <row r="131" spans="2:39">
      <c r="B131" s="18" t="s">
        <v>55</v>
      </c>
      <c r="C131" s="24">
        <f t="shared" ref="C131:M131" si="30">C30/C34</f>
        <v>0.21533353887674991</v>
      </c>
      <c r="D131" s="24">
        <f t="shared" si="30"/>
        <v>0.26065825951720872</v>
      </c>
      <c r="E131" s="24">
        <f t="shared" si="30"/>
        <v>5.6562950752112096E-2</v>
      </c>
      <c r="F131" s="24">
        <f t="shared" si="30"/>
        <v>2.2541240529454963E-2</v>
      </c>
      <c r="G131" s="24">
        <f t="shared" si="30"/>
        <v>2.2335433031344894E-2</v>
      </c>
      <c r="H131" s="24">
        <f t="shared" si="30"/>
        <v>2.1128692231130338E-2</v>
      </c>
      <c r="I131" s="24">
        <f t="shared" si="30"/>
        <v>2.2044551634138081E-2</v>
      </c>
      <c r="J131" s="24">
        <f t="shared" si="30"/>
        <v>2.0415107179312691E-2</v>
      </c>
      <c r="K131" s="24">
        <f t="shared" si="30"/>
        <v>1.3499082719531229E-2</v>
      </c>
      <c r="L131" s="24">
        <f t="shared" si="30"/>
        <v>2.0497306043757425E-2</v>
      </c>
      <c r="M131" s="24">
        <f t="shared" si="30"/>
        <v>0</v>
      </c>
      <c r="O131" s="24"/>
      <c r="Q131" s="24"/>
      <c r="S131" s="24"/>
      <c r="U131" s="24"/>
      <c r="W131" s="24"/>
      <c r="Y131" s="24"/>
      <c r="AA131" s="24"/>
      <c r="AC131" s="24"/>
      <c r="AE131" s="24"/>
      <c r="AG131" s="24"/>
      <c r="AI131" s="24"/>
      <c r="AK131" s="24"/>
      <c r="AM131" s="24"/>
    </row>
    <row r="132" spans="2:39"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O132" s="19"/>
      <c r="Q132" s="19"/>
      <c r="S132" s="19"/>
      <c r="U132" s="19"/>
      <c r="W132" s="19"/>
      <c r="Y132" s="19"/>
      <c r="AA132" s="19"/>
      <c r="AC132" s="19"/>
      <c r="AE132" s="19"/>
      <c r="AG132" s="19"/>
      <c r="AI132" s="19"/>
      <c r="AK132" s="19"/>
      <c r="AM132" s="19"/>
    </row>
    <row r="133" spans="2:39" ht="15" customHeight="1">
      <c r="B133" s="17" t="s">
        <v>56</v>
      </c>
      <c r="C133" s="25">
        <f t="shared" ref="C133:M133" si="31">C131+C129+C122</f>
        <v>0.37502290021760792</v>
      </c>
      <c r="D133" s="25">
        <f t="shared" si="31"/>
        <v>0.40473071201568733</v>
      </c>
      <c r="E133" s="25">
        <f t="shared" si="31"/>
        <v>0.26564747751867585</v>
      </c>
      <c r="F133" s="25">
        <f t="shared" si="31"/>
        <v>0.2689452830278799</v>
      </c>
      <c r="G133" s="25">
        <f t="shared" si="31"/>
        <v>0.27241633506609403</v>
      </c>
      <c r="H133" s="25">
        <f t="shared" si="31"/>
        <v>0.27782405877545679</v>
      </c>
      <c r="I133" s="25">
        <f t="shared" si="31"/>
        <v>0.32784654313483025</v>
      </c>
      <c r="J133" s="25">
        <f t="shared" si="31"/>
        <v>0.30856413878022204</v>
      </c>
      <c r="K133" s="25">
        <f t="shared" si="31"/>
        <v>0.30041904143472858</v>
      </c>
      <c r="L133" s="25">
        <f t="shared" si="31"/>
        <v>0.29845416208301695</v>
      </c>
      <c r="M133" s="25">
        <f t="shared" si="31"/>
        <v>0.3332673737533639</v>
      </c>
      <c r="O133" s="25"/>
      <c r="Q133" s="25"/>
      <c r="S133" s="25"/>
      <c r="U133" s="25"/>
      <c r="W133" s="25"/>
      <c r="Y133" s="25"/>
      <c r="AA133" s="25"/>
      <c r="AC133" s="25"/>
      <c r="AE133" s="25"/>
      <c r="AG133" s="25"/>
      <c r="AI133" s="25"/>
      <c r="AK133" s="25"/>
      <c r="AM133" s="25"/>
    </row>
    <row r="134" spans="2:39"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O134" s="19"/>
      <c r="Q134" s="19"/>
      <c r="S134" s="19"/>
      <c r="U134" s="19"/>
      <c r="W134" s="19"/>
      <c r="Y134" s="19"/>
      <c r="AA134" s="19"/>
      <c r="AC134" s="19"/>
      <c r="AE134" s="19"/>
      <c r="AG134" s="19"/>
      <c r="AI134" s="19"/>
      <c r="AK134" s="19"/>
      <c r="AM134" s="19"/>
    </row>
    <row r="135" spans="2:39" ht="15.75" customHeight="1">
      <c r="B135" s="16" t="s">
        <v>32</v>
      </c>
      <c r="C135" s="26">
        <f t="shared" ref="C135:M135" si="32">C133+C115</f>
        <v>1</v>
      </c>
      <c r="D135" s="26">
        <f t="shared" si="32"/>
        <v>0.99536817905199804</v>
      </c>
      <c r="E135" s="26">
        <f t="shared" si="32"/>
        <v>0.98459157689755794</v>
      </c>
      <c r="F135" s="26">
        <f t="shared" si="32"/>
        <v>0.99782350480431237</v>
      </c>
      <c r="G135" s="26">
        <f t="shared" si="32"/>
        <v>0.74084139425080886</v>
      </c>
      <c r="H135" s="26">
        <f t="shared" si="32"/>
        <v>0.99808048711737174</v>
      </c>
      <c r="I135" s="26">
        <f t="shared" si="32"/>
        <v>1.0036949981991303</v>
      </c>
      <c r="J135" s="26">
        <f t="shared" si="32"/>
        <v>1.0061582751077711</v>
      </c>
      <c r="K135" s="26">
        <f t="shared" si="32"/>
        <v>1.0055293432702022</v>
      </c>
      <c r="L135" s="26">
        <f t="shared" si="32"/>
        <v>0.99636957357837797</v>
      </c>
      <c r="M135" s="26">
        <f t="shared" si="32"/>
        <v>1</v>
      </c>
      <c r="O135" s="26"/>
      <c r="Q135" s="26"/>
      <c r="S135" s="26"/>
      <c r="U135" s="26"/>
      <c r="W135" s="26"/>
      <c r="Y135" s="26"/>
      <c r="AA135" s="26"/>
      <c r="AC135" s="26"/>
      <c r="AE135" s="26"/>
      <c r="AG135" s="26"/>
      <c r="AI135" s="26"/>
      <c r="AK135" s="26"/>
      <c r="AM135" s="26"/>
    </row>
    <row r="136" spans="2:39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O136" s="19"/>
      <c r="Q136" s="19"/>
      <c r="S136" s="19"/>
      <c r="U136" s="19"/>
      <c r="W136" s="19"/>
      <c r="Y136" s="19"/>
      <c r="AA136" s="19"/>
      <c r="AC136" s="19"/>
      <c r="AE136" s="19"/>
      <c r="AG136" s="19"/>
      <c r="AI136" s="19"/>
      <c r="AK136" s="19"/>
      <c r="AM136" s="19"/>
    </row>
    <row r="137" spans="2:39" ht="15.75" customHeight="1">
      <c r="B137" s="16" t="s">
        <v>57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O137" s="19"/>
      <c r="Q137" s="19"/>
      <c r="S137" s="19"/>
      <c r="U137" s="19"/>
      <c r="W137" s="19"/>
      <c r="Y137" s="19"/>
      <c r="AA137" s="19"/>
      <c r="AC137" s="19"/>
      <c r="AE137" s="19"/>
      <c r="AG137" s="19"/>
      <c r="AI137" s="19"/>
      <c r="AK137" s="19"/>
      <c r="AM137" s="19"/>
    </row>
    <row r="138" spans="2:39" ht="15" customHeight="1">
      <c r="B138" s="17" t="s">
        <v>58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O138" s="19"/>
      <c r="Q138" s="19"/>
      <c r="S138" s="19"/>
      <c r="U138" s="19"/>
      <c r="W138" s="19"/>
      <c r="Y138" s="19"/>
      <c r="AA138" s="19"/>
      <c r="AC138" s="19"/>
      <c r="AE138" s="19"/>
      <c r="AG138" s="19"/>
      <c r="AI138" s="19"/>
      <c r="AK138" s="19"/>
      <c r="AM138" s="19"/>
    </row>
    <row r="139" spans="2:39" ht="15" customHeight="1">
      <c r="B139" s="17" t="s">
        <v>59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O139" s="19"/>
      <c r="Q139" s="19"/>
      <c r="S139" s="19"/>
      <c r="U139" s="19"/>
      <c r="W139" s="19"/>
      <c r="Y139" s="19"/>
      <c r="AA139" s="19"/>
      <c r="AC139" s="19"/>
      <c r="AE139" s="19"/>
      <c r="AG139" s="19"/>
      <c r="AI139" s="19"/>
      <c r="AK139" s="19"/>
      <c r="AM139" s="19"/>
    </row>
    <row r="140" spans="2:39">
      <c r="B140" t="s">
        <v>60</v>
      </c>
      <c r="C140" s="21">
        <f t="shared" ref="C140:M140" si="33">C39/C89</f>
        <v>6.7467392324293884E-2</v>
      </c>
      <c r="D140" s="21">
        <f t="shared" si="33"/>
        <v>8.1580904726485895E-2</v>
      </c>
      <c r="E140" s="21">
        <f t="shared" si="33"/>
        <v>0.1754584792911601</v>
      </c>
      <c r="F140" s="21">
        <f t="shared" si="33"/>
        <v>0.23495907291648011</v>
      </c>
      <c r="G140" s="21">
        <f t="shared" si="33"/>
        <v>0.38313214712943677</v>
      </c>
      <c r="H140" s="21">
        <f t="shared" si="33"/>
        <v>0.4020799536046521</v>
      </c>
      <c r="I140" s="21">
        <f t="shared" si="33"/>
        <v>0.43837189133828353</v>
      </c>
      <c r="J140" s="21">
        <f t="shared" si="33"/>
        <v>0.35669020074855395</v>
      </c>
      <c r="K140" s="21">
        <f t="shared" si="33"/>
        <v>0.33466133640006207</v>
      </c>
      <c r="L140" s="21">
        <f t="shared" si="33"/>
        <v>0.14305940474755996</v>
      </c>
      <c r="M140" s="21">
        <f t="shared" si="33"/>
        <v>0</v>
      </c>
      <c r="O140" s="21"/>
      <c r="Q140" s="21"/>
      <c r="S140" s="21"/>
      <c r="U140" s="21"/>
      <c r="W140" s="21"/>
      <c r="Y140" s="21"/>
      <c r="AA140" s="21"/>
      <c r="AC140" s="21"/>
      <c r="AE140" s="21"/>
      <c r="AG140" s="21"/>
      <c r="AI140" s="21"/>
      <c r="AK140" s="21"/>
      <c r="AM140" s="21"/>
    </row>
    <row r="141" spans="2:39">
      <c r="B141" t="s">
        <v>61</v>
      </c>
      <c r="C141" s="21">
        <f t="shared" ref="C141:M141" si="34">C40/C89</f>
        <v>3.3070148393410097E-2</v>
      </c>
      <c r="D141" s="21">
        <f t="shared" si="34"/>
        <v>3.0774562174589223E-2</v>
      </c>
      <c r="E141" s="21">
        <f t="shared" si="34"/>
        <v>4.7260899002090018E-2</v>
      </c>
      <c r="F141" s="21">
        <f t="shared" si="34"/>
        <v>5.5775465243323601E-2</v>
      </c>
      <c r="G141" s="21">
        <f t="shared" si="34"/>
        <v>3.6790724521293949E-2</v>
      </c>
      <c r="H141" s="21">
        <f t="shared" si="34"/>
        <v>3.3236937593554811E-2</v>
      </c>
      <c r="I141" s="21">
        <f t="shared" si="34"/>
        <v>3.9893287520751941E-2</v>
      </c>
      <c r="J141" s="21">
        <f t="shared" si="34"/>
        <v>2.2534592264942723E-2</v>
      </c>
      <c r="K141" s="21">
        <f t="shared" si="34"/>
        <v>3.6390022179020293E-2</v>
      </c>
      <c r="L141" s="21">
        <f t="shared" si="34"/>
        <v>3.1828275351591412E-2</v>
      </c>
      <c r="M141" s="21">
        <f t="shared" si="34"/>
        <v>5.8453379768877635E-2</v>
      </c>
      <c r="O141" s="21"/>
      <c r="Q141" s="21"/>
      <c r="S141" s="21"/>
      <c r="U141" s="21"/>
      <c r="W141" s="21"/>
      <c r="Y141" s="21"/>
      <c r="AA141" s="21"/>
      <c r="AC141" s="21"/>
      <c r="AE141" s="21"/>
      <c r="AG141" s="21"/>
      <c r="AI141" s="21"/>
      <c r="AK141" s="21"/>
      <c r="AM141" s="21"/>
    </row>
    <row r="142" spans="2:39">
      <c r="B142" s="18" t="s">
        <v>62</v>
      </c>
      <c r="C142" s="23">
        <f t="shared" ref="C142:M142" si="35">SUM(C140:C141)</f>
        <v>0.10053754071770399</v>
      </c>
      <c r="D142" s="23">
        <f t="shared" si="35"/>
        <v>0.11235546690107512</v>
      </c>
      <c r="E142" s="23">
        <f t="shared" si="35"/>
        <v>0.22271937829325011</v>
      </c>
      <c r="F142" s="23">
        <f t="shared" si="35"/>
        <v>0.29073453815980371</v>
      </c>
      <c r="G142" s="23">
        <f t="shared" si="35"/>
        <v>0.41992287165073072</v>
      </c>
      <c r="H142" s="23">
        <f t="shared" si="35"/>
        <v>0.43531689119820693</v>
      </c>
      <c r="I142" s="23">
        <f t="shared" si="35"/>
        <v>0.47826517885903547</v>
      </c>
      <c r="J142" s="23">
        <f t="shared" si="35"/>
        <v>0.37922479301349665</v>
      </c>
      <c r="K142" s="23">
        <f t="shared" si="35"/>
        <v>0.37105135857908234</v>
      </c>
      <c r="L142" s="23">
        <f t="shared" si="35"/>
        <v>0.17488768009915137</v>
      </c>
      <c r="M142" s="23">
        <f t="shared" si="35"/>
        <v>5.8453379768877635E-2</v>
      </c>
      <c r="O142" s="23"/>
      <c r="Q142" s="23"/>
      <c r="S142" s="23"/>
      <c r="U142" s="23"/>
      <c r="W142" s="23"/>
      <c r="Y142" s="23"/>
      <c r="AA142" s="23"/>
      <c r="AC142" s="23"/>
      <c r="AE142" s="23"/>
      <c r="AG142" s="23"/>
      <c r="AI142" s="23"/>
      <c r="AK142" s="23"/>
      <c r="AM142" s="23"/>
    </row>
    <row r="143" spans="2:39"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O143" s="19"/>
      <c r="Q143" s="19"/>
      <c r="S143" s="19"/>
      <c r="U143" s="19"/>
      <c r="W143" s="19"/>
      <c r="Y143" s="19"/>
      <c r="AA143" s="19"/>
      <c r="AC143" s="19"/>
      <c r="AE143" s="19"/>
      <c r="AG143" s="19"/>
      <c r="AI143" s="19"/>
      <c r="AK143" s="19"/>
      <c r="AM143" s="19"/>
    </row>
    <row r="144" spans="2:39">
      <c r="B144" s="18" t="s">
        <v>63</v>
      </c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O144" s="19"/>
      <c r="Q144" s="19"/>
      <c r="S144" s="19"/>
      <c r="U144" s="19"/>
      <c r="W144" s="19"/>
      <c r="Y144" s="19"/>
      <c r="AA144" s="19"/>
      <c r="AC144" s="19"/>
      <c r="AE144" s="19"/>
      <c r="AG144" s="19"/>
      <c r="AI144" s="19"/>
      <c r="AK144" s="19"/>
      <c r="AM144" s="19"/>
    </row>
    <row r="145" spans="2:39">
      <c r="B145" t="s">
        <v>64</v>
      </c>
      <c r="C145" s="21">
        <f t="shared" ref="C145:M145" si="36">C44/C89</f>
        <v>0.24632144309351778</v>
      </c>
      <c r="D145" s="21">
        <f t="shared" si="36"/>
        <v>0.17997751707350057</v>
      </c>
      <c r="E145" s="21">
        <f t="shared" si="36"/>
        <v>0.34435989520473342</v>
      </c>
      <c r="F145" s="21">
        <f t="shared" si="36"/>
        <v>0.28269241102613246</v>
      </c>
      <c r="G145" s="21">
        <f t="shared" si="36"/>
        <v>0.28791795283626537</v>
      </c>
      <c r="H145" s="21">
        <f t="shared" si="36"/>
        <v>0.24968064013040855</v>
      </c>
      <c r="I145" s="21">
        <f t="shared" si="36"/>
        <v>0.1702774359270853</v>
      </c>
      <c r="J145" s="21">
        <f t="shared" si="36"/>
        <v>0.20591612793467165</v>
      </c>
      <c r="K145" s="21">
        <f t="shared" si="36"/>
        <v>0.23717860956709838</v>
      </c>
      <c r="L145" s="21">
        <f t="shared" si="36"/>
        <v>0.22568123526070266</v>
      </c>
      <c r="M145" s="21">
        <f t="shared" si="36"/>
        <v>0.15722653158144689</v>
      </c>
      <c r="O145" s="21"/>
      <c r="Q145" s="21"/>
      <c r="S145" s="21"/>
      <c r="U145" s="21"/>
      <c r="W145" s="21"/>
      <c r="Y145" s="21"/>
      <c r="AA145" s="21"/>
      <c r="AC145" s="21"/>
      <c r="AE145" s="21"/>
      <c r="AG145" s="21"/>
      <c r="AI145" s="21"/>
      <c r="AK145" s="21"/>
      <c r="AM145" s="21"/>
    </row>
    <row r="146" spans="2:39">
      <c r="B146" t="s">
        <v>65</v>
      </c>
      <c r="C146" s="21">
        <f t="shared" ref="C146:M146" si="37">C45/C89</f>
        <v>3.3338248501990644E-2</v>
      </c>
      <c r="D146" s="21">
        <f t="shared" si="37"/>
        <v>3.6682669551693824E-2</v>
      </c>
      <c r="E146" s="21">
        <f t="shared" si="37"/>
        <v>4.5318065408730977E-2</v>
      </c>
      <c r="F146" s="21">
        <f t="shared" si="37"/>
        <v>4.5100392255198726E-2</v>
      </c>
      <c r="G146" s="21">
        <f t="shared" si="37"/>
        <v>4.0596950000418269E-2</v>
      </c>
      <c r="H146" s="21">
        <f t="shared" si="37"/>
        <v>4.2453310762623535E-2</v>
      </c>
      <c r="I146" s="21">
        <f t="shared" si="37"/>
        <v>3.3847348294004445E-2</v>
      </c>
      <c r="J146" s="21">
        <f t="shared" si="37"/>
        <v>4.8443348077577407E-2</v>
      </c>
      <c r="K146" s="21">
        <f t="shared" si="37"/>
        <v>4.9528581729233412E-2</v>
      </c>
      <c r="L146" s="21">
        <f t="shared" si="37"/>
        <v>0.12511834472311639</v>
      </c>
      <c r="M146" s="21">
        <f t="shared" si="37"/>
        <v>3.6283045749564667E-2</v>
      </c>
      <c r="O146" s="21"/>
      <c r="Q146" s="21"/>
      <c r="S146" s="21"/>
      <c r="U146" s="21"/>
      <c r="W146" s="21"/>
      <c r="Y146" s="21"/>
      <c r="AA146" s="21"/>
      <c r="AC146" s="21"/>
      <c r="AE146" s="21"/>
      <c r="AG146" s="21"/>
      <c r="AI146" s="21"/>
      <c r="AK146" s="21"/>
      <c r="AM146" s="21"/>
    </row>
    <row r="147" spans="2:39">
      <c r="B147" t="s">
        <v>66</v>
      </c>
      <c r="C147" s="27">
        <f t="shared" ref="C147:M147" si="38">SUM(C145:C146)</f>
        <v>0.27965969159550841</v>
      </c>
      <c r="D147" s="27">
        <f t="shared" si="38"/>
        <v>0.2166601866251944</v>
      </c>
      <c r="E147" s="27">
        <f t="shared" si="38"/>
        <v>0.38967796061346438</v>
      </c>
      <c r="F147" s="27">
        <f t="shared" si="38"/>
        <v>0.3277928032813312</v>
      </c>
      <c r="G147" s="27">
        <f t="shared" si="38"/>
        <v>0.32851490283668361</v>
      </c>
      <c r="H147" s="27">
        <f t="shared" si="38"/>
        <v>0.29213395089303207</v>
      </c>
      <c r="I147" s="27">
        <f t="shared" si="38"/>
        <v>0.20412478422108976</v>
      </c>
      <c r="J147" s="27">
        <f t="shared" si="38"/>
        <v>0.25435947601224906</v>
      </c>
      <c r="K147" s="27">
        <f t="shared" si="38"/>
        <v>0.28670719129633182</v>
      </c>
      <c r="L147" s="27">
        <f t="shared" si="38"/>
        <v>0.35079957998381905</v>
      </c>
      <c r="M147" s="27">
        <f t="shared" si="38"/>
        <v>0.19350957733101157</v>
      </c>
      <c r="O147" s="27"/>
      <c r="Q147" s="27"/>
      <c r="S147" s="27"/>
      <c r="U147" s="27"/>
      <c r="W147" s="27"/>
      <c r="Y147" s="27"/>
      <c r="AA147" s="27"/>
      <c r="AC147" s="27"/>
      <c r="AE147" s="27"/>
      <c r="AG147" s="27"/>
      <c r="AI147" s="27"/>
      <c r="AK147" s="27"/>
      <c r="AM147" s="27"/>
    </row>
    <row r="148" spans="2:39">
      <c r="B148" t="s">
        <v>67</v>
      </c>
      <c r="C148" s="21">
        <f t="shared" ref="C148:M148" si="39">C47/C89</f>
        <v>0</v>
      </c>
      <c r="D148" s="21">
        <f t="shared" si="39"/>
        <v>0</v>
      </c>
      <c r="E148" s="21">
        <f t="shared" si="39"/>
        <v>0</v>
      </c>
      <c r="F148" s="21">
        <f t="shared" si="39"/>
        <v>0</v>
      </c>
      <c r="G148" s="21">
        <f t="shared" si="39"/>
        <v>0</v>
      </c>
      <c r="H148" s="21">
        <f t="shared" si="39"/>
        <v>0</v>
      </c>
      <c r="I148" s="21">
        <f t="shared" si="39"/>
        <v>0</v>
      </c>
      <c r="J148" s="21">
        <f t="shared" si="39"/>
        <v>0</v>
      </c>
      <c r="K148" s="21">
        <f t="shared" si="39"/>
        <v>2.4141361591048073E-3</v>
      </c>
      <c r="L148" s="21">
        <f t="shared" si="39"/>
        <v>3.6579278054154544E-3</v>
      </c>
      <c r="M148" s="21">
        <f t="shared" si="39"/>
        <v>0</v>
      </c>
      <c r="O148" s="21"/>
      <c r="Q148" s="21"/>
      <c r="S148" s="21"/>
      <c r="U148" s="21"/>
      <c r="W148" s="21"/>
      <c r="Y148" s="21"/>
      <c r="AA148" s="21"/>
      <c r="AC148" s="21"/>
      <c r="AE148" s="21"/>
      <c r="AG148" s="21"/>
      <c r="AI148" s="21"/>
      <c r="AK148" s="21"/>
      <c r="AM148" s="21"/>
    </row>
    <row r="149" spans="2:39">
      <c r="B149" s="18" t="s">
        <v>66</v>
      </c>
      <c r="C149" s="23">
        <f t="shared" ref="C149:M149" si="40">SUM(C147:C148)</f>
        <v>0.27965969159550841</v>
      </c>
      <c r="D149" s="23">
        <f t="shared" si="40"/>
        <v>0.2166601866251944</v>
      </c>
      <c r="E149" s="23">
        <f t="shared" si="40"/>
        <v>0.38967796061346438</v>
      </c>
      <c r="F149" s="23">
        <f t="shared" si="40"/>
        <v>0.3277928032813312</v>
      </c>
      <c r="G149" s="23">
        <f t="shared" si="40"/>
        <v>0.32851490283668361</v>
      </c>
      <c r="H149" s="23">
        <f t="shared" si="40"/>
        <v>0.29213395089303207</v>
      </c>
      <c r="I149" s="23">
        <f t="shared" si="40"/>
        <v>0.20412478422108976</v>
      </c>
      <c r="J149" s="23">
        <f t="shared" si="40"/>
        <v>0.25435947601224906</v>
      </c>
      <c r="K149" s="23">
        <f t="shared" si="40"/>
        <v>0.28912132745543662</v>
      </c>
      <c r="L149" s="23">
        <f t="shared" si="40"/>
        <v>0.35445750778923452</v>
      </c>
      <c r="M149" s="23">
        <f t="shared" si="40"/>
        <v>0.19350957733101157</v>
      </c>
      <c r="O149" s="23"/>
      <c r="Q149" s="23"/>
      <c r="S149" s="23"/>
      <c r="U149" s="23"/>
      <c r="W149" s="23"/>
      <c r="Y149" s="23"/>
      <c r="AA149" s="23"/>
      <c r="AC149" s="23"/>
      <c r="AE149" s="23"/>
      <c r="AG149" s="23"/>
      <c r="AI149" s="23"/>
      <c r="AK149" s="23"/>
      <c r="AM149" s="23"/>
    </row>
    <row r="150" spans="2:39"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O150" s="19"/>
      <c r="Q150" s="19"/>
      <c r="S150" s="19"/>
      <c r="U150" s="19"/>
      <c r="W150" s="19"/>
      <c r="Y150" s="19"/>
      <c r="AA150" s="19"/>
      <c r="AC150" s="19"/>
      <c r="AE150" s="19"/>
      <c r="AG150" s="19"/>
      <c r="AI150" s="19"/>
      <c r="AK150" s="19"/>
      <c r="AM150" s="19"/>
    </row>
    <row r="151" spans="2:39" ht="15" customHeight="1">
      <c r="B151" s="17" t="s">
        <v>58</v>
      </c>
      <c r="C151" s="25">
        <f t="shared" ref="C151:M151" si="41">C142+C149</f>
        <v>0.3801972323132124</v>
      </c>
      <c r="D151" s="25">
        <f t="shared" si="41"/>
        <v>0.32901565352626949</v>
      </c>
      <c r="E151" s="25">
        <f t="shared" si="41"/>
        <v>0.61239733890671455</v>
      </c>
      <c r="F151" s="25">
        <f t="shared" si="41"/>
        <v>0.61852734144113497</v>
      </c>
      <c r="G151" s="25">
        <f t="shared" si="41"/>
        <v>0.74843777448741433</v>
      </c>
      <c r="H151" s="25">
        <f t="shared" si="41"/>
        <v>0.727450842091239</v>
      </c>
      <c r="I151" s="25">
        <f t="shared" si="41"/>
        <v>0.68238996308012523</v>
      </c>
      <c r="J151" s="25">
        <f t="shared" si="41"/>
        <v>0.63358426902574572</v>
      </c>
      <c r="K151" s="25">
        <f t="shared" si="41"/>
        <v>0.66017268603451895</v>
      </c>
      <c r="L151" s="25">
        <f t="shared" si="41"/>
        <v>0.52934518788838592</v>
      </c>
      <c r="M151" s="25">
        <f t="shared" si="41"/>
        <v>0.2519629570998892</v>
      </c>
      <c r="O151" s="25"/>
      <c r="Q151" s="25"/>
      <c r="S151" s="25"/>
      <c r="U151" s="25"/>
      <c r="W151" s="25"/>
      <c r="Y151" s="25"/>
      <c r="AA151" s="25"/>
      <c r="AC151" s="25"/>
      <c r="AE151" s="25"/>
      <c r="AG151" s="25"/>
      <c r="AI151" s="25"/>
      <c r="AK151" s="25"/>
      <c r="AM151" s="25"/>
    </row>
    <row r="152" spans="2:39"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O152" s="19"/>
      <c r="Q152" s="19"/>
      <c r="S152" s="19"/>
      <c r="U152" s="19"/>
      <c r="W152" s="19"/>
      <c r="Y152" s="19"/>
      <c r="AA152" s="19"/>
      <c r="AC152" s="19"/>
      <c r="AE152" s="19"/>
      <c r="AG152" s="19"/>
      <c r="AI152" s="19"/>
      <c r="AK152" s="19"/>
      <c r="AM152" s="19"/>
    </row>
    <row r="153" spans="2:39" ht="15" customHeight="1">
      <c r="B153" s="17" t="s">
        <v>68</v>
      </c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O153" s="19"/>
      <c r="Q153" s="19"/>
      <c r="S153" s="19"/>
      <c r="U153" s="19"/>
      <c r="W153" s="19"/>
      <c r="Y153" s="19"/>
      <c r="AA153" s="19"/>
      <c r="AC153" s="19"/>
      <c r="AE153" s="19"/>
      <c r="AG153" s="19"/>
      <c r="AI153" s="19"/>
      <c r="AK153" s="19"/>
      <c r="AM153" s="19"/>
    </row>
    <row r="154" spans="2:39">
      <c r="B154" s="18" t="s">
        <v>69</v>
      </c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O154" s="19"/>
      <c r="Q154" s="19"/>
      <c r="S154" s="19"/>
      <c r="U154" s="19"/>
      <c r="W154" s="19"/>
      <c r="Y154" s="19"/>
      <c r="AA154" s="19"/>
      <c r="AC154" s="19"/>
      <c r="AE154" s="19"/>
      <c r="AG154" s="19"/>
      <c r="AI154" s="19"/>
      <c r="AK154" s="19"/>
      <c r="AM154" s="19"/>
    </row>
    <row r="155" spans="2:39">
      <c r="B155" t="s">
        <v>70</v>
      </c>
      <c r="C155" s="21">
        <f t="shared" ref="C155:M155" si="42">C54/C89</f>
        <v>0</v>
      </c>
      <c r="D155" s="21">
        <f t="shared" si="42"/>
        <v>0</v>
      </c>
      <c r="E155" s="21">
        <f t="shared" si="42"/>
        <v>0</v>
      </c>
      <c r="F155" s="21">
        <f t="shared" si="42"/>
        <v>0</v>
      </c>
      <c r="G155" s="21">
        <f t="shared" si="42"/>
        <v>0</v>
      </c>
      <c r="H155" s="21">
        <f t="shared" si="42"/>
        <v>0</v>
      </c>
      <c r="I155" s="21">
        <f t="shared" si="42"/>
        <v>0</v>
      </c>
      <c r="J155" s="21">
        <f t="shared" si="42"/>
        <v>0</v>
      </c>
      <c r="K155" s="21">
        <f t="shared" si="42"/>
        <v>0</v>
      </c>
      <c r="L155" s="21">
        <f t="shared" si="42"/>
        <v>0</v>
      </c>
      <c r="M155" s="21">
        <f t="shared" si="42"/>
        <v>0</v>
      </c>
      <c r="O155" s="21"/>
      <c r="Q155" s="21"/>
      <c r="S155" s="21"/>
      <c r="U155" s="21"/>
      <c r="W155" s="21"/>
      <c r="Y155" s="21"/>
      <c r="AA155" s="21"/>
      <c r="AC155" s="21"/>
      <c r="AE155" s="21"/>
      <c r="AG155" s="21"/>
      <c r="AI155" s="21"/>
      <c r="AK155" s="21"/>
      <c r="AM155" s="21"/>
    </row>
    <row r="156" spans="2:39">
      <c r="B156" t="s">
        <v>71</v>
      </c>
      <c r="C156" s="21">
        <f t="shared" ref="C156:M156" si="43">C55/C89</f>
        <v>0.2758437333833787</v>
      </c>
      <c r="D156" s="21">
        <f t="shared" si="43"/>
        <v>0.29216816552843328</v>
      </c>
      <c r="E156" s="21">
        <f t="shared" si="43"/>
        <v>0.16397809896676577</v>
      </c>
      <c r="F156" s="21">
        <f t="shared" si="43"/>
        <v>0.25731224588490265</v>
      </c>
      <c r="G156" s="21">
        <f t="shared" si="43"/>
        <v>0.21008691578621561</v>
      </c>
      <c r="H156" s="21">
        <f t="shared" si="43"/>
        <v>0.22800335425826221</v>
      </c>
      <c r="I156" s="21">
        <f t="shared" si="43"/>
        <v>0.30898713998992344</v>
      </c>
      <c r="J156" s="21">
        <f t="shared" si="43"/>
        <v>0.29518969037087445</v>
      </c>
      <c r="K156" s="21">
        <f t="shared" si="43"/>
        <v>0.15879448353915099</v>
      </c>
      <c r="L156" s="21">
        <f t="shared" si="43"/>
        <v>0.17610555488613086</v>
      </c>
      <c r="M156" s="21">
        <f t="shared" si="43"/>
        <v>0.37197245527940476</v>
      </c>
      <c r="O156" s="21"/>
      <c r="Q156" s="21"/>
      <c r="S156" s="21"/>
      <c r="U156" s="21"/>
      <c r="W156" s="21"/>
      <c r="Y156" s="21"/>
      <c r="AA156" s="21"/>
      <c r="AC156" s="21"/>
      <c r="AE156" s="21"/>
      <c r="AG156" s="21"/>
      <c r="AI156" s="21"/>
      <c r="AK156" s="21"/>
      <c r="AM156" s="21"/>
    </row>
    <row r="157" spans="2:39">
      <c r="B157" t="s">
        <v>72</v>
      </c>
      <c r="C157" s="21">
        <f t="shared" ref="C157:M157" si="44">C56/C89</f>
        <v>2.6591062436046954E-2</v>
      </c>
      <c r="D157" s="21">
        <f t="shared" si="44"/>
        <v>3.5697984988843058E-2</v>
      </c>
      <c r="E157" s="21">
        <f t="shared" si="44"/>
        <v>3.0827764858261459E-2</v>
      </c>
      <c r="F157" s="21">
        <f t="shared" si="44"/>
        <v>0</v>
      </c>
      <c r="G157" s="21">
        <f t="shared" si="44"/>
        <v>1.3434721141700337E-2</v>
      </c>
      <c r="H157" s="21">
        <f t="shared" si="44"/>
        <v>1.1489118253277846E-2</v>
      </c>
      <c r="I157" s="21">
        <f t="shared" si="44"/>
        <v>1.6882376747912417E-2</v>
      </c>
      <c r="J157" s="21">
        <f t="shared" si="44"/>
        <v>0</v>
      </c>
      <c r="K157" s="21">
        <f t="shared" si="44"/>
        <v>0</v>
      </c>
      <c r="L157" s="21">
        <f t="shared" si="44"/>
        <v>0</v>
      </c>
      <c r="M157" s="21">
        <f t="shared" si="44"/>
        <v>2.0793097989552003E-2</v>
      </c>
      <c r="O157" s="21"/>
      <c r="Q157" s="21"/>
      <c r="S157" s="21"/>
      <c r="U157" s="21"/>
      <c r="W157" s="21"/>
      <c r="Y157" s="21"/>
      <c r="AA157" s="21"/>
      <c r="AC157" s="21"/>
      <c r="AE157" s="21"/>
      <c r="AG157" s="21"/>
      <c r="AI157" s="21"/>
      <c r="AK157" s="21"/>
      <c r="AM157" s="21"/>
    </row>
    <row r="158" spans="2:39">
      <c r="B158" s="18" t="s">
        <v>69</v>
      </c>
      <c r="C158" s="23">
        <f t="shared" ref="C158:M158" si="45">SUM(C155:C157)</f>
        <v>0.30243479581942567</v>
      </c>
      <c r="D158" s="23">
        <f t="shared" si="45"/>
        <v>0.32786615051727636</v>
      </c>
      <c r="E158" s="23">
        <f t="shared" si="45"/>
        <v>0.19480586382502724</v>
      </c>
      <c r="F158" s="23">
        <f t="shared" si="45"/>
        <v>0.25731224588490265</v>
      </c>
      <c r="G158" s="23">
        <f t="shared" si="45"/>
        <v>0.22352163692791593</v>
      </c>
      <c r="H158" s="23">
        <f t="shared" si="45"/>
        <v>0.23949247251154004</v>
      </c>
      <c r="I158" s="23">
        <f t="shared" si="45"/>
        <v>0.32586951673783587</v>
      </c>
      <c r="J158" s="23">
        <f t="shared" si="45"/>
        <v>0.29518969037087445</v>
      </c>
      <c r="K158" s="23">
        <f t="shared" si="45"/>
        <v>0.15879448353915099</v>
      </c>
      <c r="L158" s="23">
        <f t="shared" si="45"/>
        <v>0.17610555488613086</v>
      </c>
      <c r="M158" s="23">
        <f t="shared" si="45"/>
        <v>0.39276555326895674</v>
      </c>
      <c r="O158" s="23"/>
      <c r="Q158" s="23"/>
      <c r="S158" s="23"/>
      <c r="U158" s="23"/>
      <c r="W158" s="23"/>
      <c r="Y158" s="23"/>
      <c r="AA158" s="23"/>
      <c r="AC158" s="23"/>
      <c r="AE158" s="23"/>
      <c r="AG158" s="23"/>
      <c r="AI158" s="23"/>
      <c r="AK158" s="23"/>
      <c r="AM158" s="23"/>
    </row>
    <row r="159" spans="2:39"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O159" s="19"/>
      <c r="Q159" s="19"/>
      <c r="S159" s="19"/>
      <c r="U159" s="19"/>
      <c r="W159" s="19"/>
      <c r="Y159" s="19"/>
      <c r="AA159" s="19"/>
      <c r="AC159" s="19"/>
      <c r="AE159" s="19"/>
      <c r="AG159" s="19"/>
      <c r="AI159" s="19"/>
      <c r="AK159" s="19"/>
      <c r="AM159" s="19"/>
    </row>
    <row r="160" spans="2:39">
      <c r="B160" s="18" t="s">
        <v>73</v>
      </c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O160" s="19"/>
      <c r="Q160" s="19"/>
      <c r="S160" s="19"/>
      <c r="U160" s="19"/>
      <c r="W160" s="19"/>
      <c r="Y160" s="19"/>
      <c r="AA160" s="19"/>
      <c r="AC160" s="19"/>
      <c r="AE160" s="19"/>
      <c r="AG160" s="19"/>
      <c r="AI160" s="19"/>
      <c r="AK160" s="19"/>
      <c r="AM160" s="19"/>
    </row>
    <row r="161" spans="2:39">
      <c r="B161" t="s">
        <v>74</v>
      </c>
      <c r="C161" s="21">
        <f t="shared" ref="C161:M161" si="46">C60/C89</f>
        <v>0</v>
      </c>
      <c r="D161" s="21">
        <f t="shared" si="46"/>
        <v>0</v>
      </c>
      <c r="E161" s="21">
        <f t="shared" si="46"/>
        <v>2.3991051190721496E-3</v>
      </c>
      <c r="F161" s="21">
        <f t="shared" si="46"/>
        <v>0</v>
      </c>
      <c r="G161" s="21">
        <f t="shared" si="46"/>
        <v>0</v>
      </c>
      <c r="H161" s="21">
        <f t="shared" si="46"/>
        <v>0</v>
      </c>
      <c r="I161" s="21">
        <f t="shared" si="46"/>
        <v>0</v>
      </c>
      <c r="J161" s="21">
        <f t="shared" si="46"/>
        <v>5.3376998979244644E-3</v>
      </c>
      <c r="K161" s="21">
        <f t="shared" si="46"/>
        <v>2.4424303825196461E-2</v>
      </c>
      <c r="L161" s="21">
        <f t="shared" si="46"/>
        <v>2.5902432306818376E-2</v>
      </c>
      <c r="M161" s="21">
        <f t="shared" si="46"/>
        <v>3.9290802596169065E-2</v>
      </c>
      <c r="O161" s="21"/>
      <c r="Q161" s="21"/>
      <c r="S161" s="21"/>
      <c r="U161" s="21"/>
      <c r="W161" s="21"/>
      <c r="Y161" s="21"/>
      <c r="AA161" s="21"/>
      <c r="AC161" s="21"/>
      <c r="AE161" s="21"/>
      <c r="AG161" s="21"/>
      <c r="AI161" s="21"/>
      <c r="AK161" s="21"/>
      <c r="AM161" s="21"/>
    </row>
    <row r="162" spans="2:39">
      <c r="B162" t="s">
        <v>75</v>
      </c>
      <c r="C162" s="21">
        <f t="shared" ref="C162:M162" si="47">C61/C89</f>
        <v>3.6193514658373438E-4</v>
      </c>
      <c r="D162" s="21">
        <f t="shared" si="47"/>
        <v>9.5932787882885924E-4</v>
      </c>
      <c r="E162" s="21">
        <f t="shared" si="47"/>
        <v>0</v>
      </c>
      <c r="F162" s="21">
        <f t="shared" si="47"/>
        <v>0</v>
      </c>
      <c r="G162" s="21">
        <f t="shared" si="47"/>
        <v>0</v>
      </c>
      <c r="H162" s="21">
        <f t="shared" si="47"/>
        <v>0</v>
      </c>
      <c r="I162" s="21">
        <f t="shared" si="47"/>
        <v>0</v>
      </c>
      <c r="J162" s="21">
        <f t="shared" si="47"/>
        <v>0</v>
      </c>
      <c r="K162" s="21">
        <f t="shared" si="47"/>
        <v>0</v>
      </c>
      <c r="L162" s="21">
        <f t="shared" si="47"/>
        <v>0</v>
      </c>
      <c r="M162" s="21">
        <f t="shared" si="47"/>
        <v>0</v>
      </c>
      <c r="O162" s="21"/>
      <c r="Q162" s="21"/>
      <c r="S162" s="21"/>
      <c r="U162" s="21"/>
      <c r="W162" s="21"/>
      <c r="Y162" s="21"/>
      <c r="AA162" s="21"/>
      <c r="AC162" s="21"/>
      <c r="AE162" s="21"/>
      <c r="AG162" s="21"/>
      <c r="AI162" s="21"/>
      <c r="AK162" s="21"/>
      <c r="AM162" s="21"/>
    </row>
    <row r="163" spans="2:39">
      <c r="B163" t="s">
        <v>76</v>
      </c>
      <c r="C163" s="21">
        <f t="shared" ref="C163:M163" si="48">C62/C89</f>
        <v>0</v>
      </c>
      <c r="D163" s="21">
        <f t="shared" si="48"/>
        <v>0</v>
      </c>
      <c r="E163" s="21">
        <f t="shared" si="48"/>
        <v>0</v>
      </c>
      <c r="F163" s="21">
        <f t="shared" si="48"/>
        <v>0</v>
      </c>
      <c r="G163" s="21">
        <f t="shared" si="48"/>
        <v>0</v>
      </c>
      <c r="H163" s="21">
        <f t="shared" si="48"/>
        <v>0</v>
      </c>
      <c r="I163" s="21">
        <f t="shared" si="48"/>
        <v>0</v>
      </c>
      <c r="J163" s="21">
        <f t="shared" si="48"/>
        <v>0</v>
      </c>
      <c r="K163" s="21">
        <f t="shared" si="48"/>
        <v>0</v>
      </c>
      <c r="L163" s="21">
        <f t="shared" si="48"/>
        <v>0</v>
      </c>
      <c r="M163" s="21">
        <f t="shared" si="48"/>
        <v>0</v>
      </c>
      <c r="O163" s="21"/>
      <c r="Q163" s="21"/>
      <c r="S163" s="21"/>
      <c r="U163" s="21"/>
      <c r="W163" s="21"/>
      <c r="Y163" s="21"/>
      <c r="AA163" s="21"/>
      <c r="AC163" s="21"/>
      <c r="AE163" s="21"/>
      <c r="AG163" s="21"/>
      <c r="AI163" s="21"/>
      <c r="AK163" s="21"/>
      <c r="AM163" s="21"/>
    </row>
    <row r="164" spans="2:39">
      <c r="B164" s="18" t="s">
        <v>77</v>
      </c>
      <c r="C164" s="23">
        <f t="shared" ref="C164:M164" si="49">SUM(C161:C163)</f>
        <v>3.6193514658373438E-4</v>
      </c>
      <c r="D164" s="23">
        <f t="shared" si="49"/>
        <v>9.5932787882885924E-4</v>
      </c>
      <c r="E164" s="23">
        <f t="shared" si="49"/>
        <v>2.3991051190721496E-3</v>
      </c>
      <c r="F164" s="23">
        <f t="shared" si="49"/>
        <v>0</v>
      </c>
      <c r="G164" s="23">
        <f t="shared" si="49"/>
        <v>0</v>
      </c>
      <c r="H164" s="23">
        <f t="shared" si="49"/>
        <v>0</v>
      </c>
      <c r="I164" s="23">
        <f t="shared" si="49"/>
        <v>0</v>
      </c>
      <c r="J164" s="23">
        <f t="shared" si="49"/>
        <v>5.3376998979244644E-3</v>
      </c>
      <c r="K164" s="23">
        <f t="shared" si="49"/>
        <v>2.4424303825196461E-2</v>
      </c>
      <c r="L164" s="23">
        <f t="shared" si="49"/>
        <v>2.5902432306818376E-2</v>
      </c>
      <c r="M164" s="23">
        <f t="shared" si="49"/>
        <v>3.9290802596169065E-2</v>
      </c>
      <c r="O164" s="23"/>
      <c r="Q164" s="23"/>
      <c r="S164" s="23"/>
      <c r="U164" s="23"/>
      <c r="W164" s="23"/>
      <c r="Y164" s="23"/>
      <c r="AA164" s="23"/>
      <c r="AC164" s="23"/>
      <c r="AE164" s="23"/>
      <c r="AG164" s="23"/>
      <c r="AI164" s="23"/>
      <c r="AK164" s="23"/>
      <c r="AM164" s="23"/>
    </row>
    <row r="165" spans="2:39"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O165" s="19"/>
      <c r="Q165" s="19"/>
      <c r="S165" s="19"/>
      <c r="U165" s="19"/>
      <c r="W165" s="19"/>
      <c r="Y165" s="19"/>
      <c r="AA165" s="19"/>
      <c r="AC165" s="19"/>
      <c r="AE165" s="19"/>
      <c r="AG165" s="19"/>
      <c r="AI165" s="19"/>
      <c r="AK165" s="19"/>
      <c r="AM165" s="19"/>
    </row>
    <row r="166" spans="2:39">
      <c r="B166" s="18" t="s">
        <v>78</v>
      </c>
      <c r="C166" s="24">
        <f t="shared" ref="C166:M166" si="50">C69/C89</f>
        <v>0</v>
      </c>
      <c r="D166" s="24">
        <f t="shared" si="50"/>
        <v>0</v>
      </c>
      <c r="E166" s="24">
        <f t="shared" si="50"/>
        <v>0</v>
      </c>
      <c r="F166" s="24">
        <f t="shared" si="50"/>
        <v>0</v>
      </c>
      <c r="G166" s="24">
        <f t="shared" si="50"/>
        <v>0</v>
      </c>
      <c r="H166" s="24">
        <f t="shared" si="50"/>
        <v>0</v>
      </c>
      <c r="I166" s="24">
        <f t="shared" si="50"/>
        <v>0</v>
      </c>
      <c r="J166" s="24">
        <f t="shared" si="50"/>
        <v>0</v>
      </c>
      <c r="K166" s="24">
        <f t="shared" si="50"/>
        <v>0</v>
      </c>
      <c r="L166" s="24">
        <f t="shared" si="50"/>
        <v>0</v>
      </c>
      <c r="M166" s="24">
        <f t="shared" si="50"/>
        <v>0</v>
      </c>
      <c r="O166" s="24"/>
      <c r="Q166" s="24"/>
      <c r="S166" s="24"/>
      <c r="U166" s="24"/>
      <c r="W166" s="24"/>
      <c r="Y166" s="24"/>
      <c r="AA166" s="24"/>
      <c r="AC166" s="24"/>
      <c r="AE166" s="24"/>
      <c r="AG166" s="24"/>
      <c r="AI166" s="24"/>
      <c r="AK166" s="24"/>
      <c r="AM166" s="24"/>
    </row>
    <row r="167" spans="2:39"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O167" s="19"/>
      <c r="Q167" s="19"/>
      <c r="S167" s="19"/>
      <c r="U167" s="19"/>
      <c r="W167" s="19"/>
      <c r="Y167" s="19"/>
      <c r="AA167" s="19"/>
      <c r="AC167" s="19"/>
      <c r="AE167" s="19"/>
      <c r="AG167" s="19"/>
      <c r="AI167" s="19"/>
      <c r="AK167" s="19"/>
      <c r="AM167" s="19"/>
    </row>
    <row r="168" spans="2:39" ht="15.75" customHeight="1">
      <c r="B168" s="16" t="s">
        <v>79</v>
      </c>
      <c r="C168" s="26">
        <f t="shared" ref="C168:M168" si="51">C166+C164+C158</f>
        <v>0.3027967309660094</v>
      </c>
      <c r="D168" s="26">
        <f t="shared" si="51"/>
        <v>0.32882547839610521</v>
      </c>
      <c r="E168" s="26">
        <f t="shared" si="51"/>
        <v>0.19720496894409939</v>
      </c>
      <c r="F168" s="26">
        <f t="shared" si="51"/>
        <v>0.25731224588490265</v>
      </c>
      <c r="G168" s="26">
        <f t="shared" si="51"/>
        <v>0.22352163692791593</v>
      </c>
      <c r="H168" s="26">
        <f t="shared" si="51"/>
        <v>0.23949247251154004</v>
      </c>
      <c r="I168" s="26">
        <f t="shared" si="51"/>
        <v>0.32586951673783587</v>
      </c>
      <c r="J168" s="26">
        <f t="shared" si="51"/>
        <v>0.30052739026879893</v>
      </c>
      <c r="K168" s="26">
        <f t="shared" si="51"/>
        <v>0.18321878736434744</v>
      </c>
      <c r="L168" s="26">
        <f t="shared" si="51"/>
        <v>0.20200798719294924</v>
      </c>
      <c r="M168" s="26">
        <f t="shared" si="51"/>
        <v>0.43205635586512581</v>
      </c>
      <c r="O168" s="26"/>
      <c r="Q168" s="26"/>
      <c r="S168" s="26"/>
      <c r="U168" s="26"/>
      <c r="W168" s="26"/>
      <c r="Y168" s="26"/>
      <c r="AA168" s="26"/>
      <c r="AC168" s="26"/>
      <c r="AE168" s="26"/>
      <c r="AG168" s="26"/>
      <c r="AI168" s="26"/>
      <c r="AK168" s="26"/>
      <c r="AM168" s="26"/>
    </row>
    <row r="169" spans="2:39"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O169" s="19"/>
      <c r="Q169" s="19"/>
      <c r="S169" s="19"/>
      <c r="U169" s="19"/>
      <c r="W169" s="19"/>
      <c r="Y169" s="19"/>
      <c r="AA169" s="19"/>
      <c r="AC169" s="19"/>
      <c r="AE169" s="19"/>
      <c r="AG169" s="19"/>
      <c r="AI169" s="19"/>
      <c r="AK169" s="19"/>
      <c r="AM169" s="19"/>
    </row>
    <row r="170" spans="2:39">
      <c r="B170" s="18" t="s">
        <v>80</v>
      </c>
      <c r="C170" s="20">
        <f t="shared" ref="C170:M170" si="52">C69/C89</f>
        <v>0</v>
      </c>
      <c r="D170" s="20">
        <f t="shared" si="52"/>
        <v>0</v>
      </c>
      <c r="E170" s="20">
        <f t="shared" si="52"/>
        <v>0</v>
      </c>
      <c r="F170" s="20">
        <f t="shared" si="52"/>
        <v>0</v>
      </c>
      <c r="G170" s="20">
        <f t="shared" si="52"/>
        <v>0</v>
      </c>
      <c r="H170" s="20">
        <f t="shared" si="52"/>
        <v>0</v>
      </c>
      <c r="I170" s="20">
        <f t="shared" si="52"/>
        <v>0</v>
      </c>
      <c r="J170" s="20">
        <f t="shared" si="52"/>
        <v>0</v>
      </c>
      <c r="K170" s="20">
        <f t="shared" si="52"/>
        <v>0</v>
      </c>
      <c r="L170" s="20">
        <f t="shared" si="52"/>
        <v>0</v>
      </c>
      <c r="M170" s="20">
        <f t="shared" si="52"/>
        <v>0</v>
      </c>
      <c r="O170" s="20"/>
      <c r="Q170" s="20"/>
      <c r="S170" s="20"/>
      <c r="U170" s="20"/>
      <c r="W170" s="20"/>
      <c r="Y170" s="20"/>
      <c r="AA170" s="20"/>
      <c r="AC170" s="20"/>
      <c r="AE170" s="20"/>
      <c r="AG170" s="20"/>
      <c r="AI170" s="20"/>
      <c r="AK170" s="20"/>
      <c r="AM170" s="20"/>
    </row>
    <row r="171" spans="2:39"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O171" s="19"/>
      <c r="Q171" s="19"/>
      <c r="S171" s="19"/>
      <c r="U171" s="19"/>
      <c r="W171" s="19"/>
      <c r="Y171" s="19"/>
      <c r="AA171" s="19"/>
      <c r="AC171" s="19"/>
      <c r="AE171" s="19"/>
      <c r="AG171" s="19"/>
      <c r="AI171" s="19"/>
      <c r="AK171" s="19"/>
      <c r="AM171" s="19"/>
    </row>
    <row r="172" spans="2:39" ht="15.75" customHeight="1">
      <c r="B172" s="16" t="s">
        <v>81</v>
      </c>
      <c r="C172" s="26">
        <f t="shared" ref="C172:M172" si="53">C168+C170+C151</f>
        <v>0.68299396327922179</v>
      </c>
      <c r="D172" s="26">
        <f t="shared" si="53"/>
        <v>0.6578411319223747</v>
      </c>
      <c r="E172" s="26">
        <f t="shared" si="53"/>
        <v>0.80960230785081388</v>
      </c>
      <c r="F172" s="26">
        <f t="shared" si="53"/>
        <v>0.87583958732603762</v>
      </c>
      <c r="G172" s="26">
        <f t="shared" si="53"/>
        <v>0.97195941141533027</v>
      </c>
      <c r="H172" s="26">
        <f t="shared" si="53"/>
        <v>0.96694331460277905</v>
      </c>
      <c r="I172" s="26">
        <f t="shared" si="53"/>
        <v>1.0082594798179612</v>
      </c>
      <c r="J172" s="26">
        <f t="shared" si="53"/>
        <v>0.93411165929454465</v>
      </c>
      <c r="K172" s="26">
        <f t="shared" si="53"/>
        <v>0.84339147339886633</v>
      </c>
      <c r="L172" s="26">
        <f t="shared" si="53"/>
        <v>0.73135317508133513</v>
      </c>
      <c r="M172" s="26">
        <f t="shared" si="53"/>
        <v>0.68401931296501495</v>
      </c>
      <c r="O172" s="26"/>
      <c r="Q172" s="26"/>
      <c r="S172" s="26"/>
      <c r="U172" s="26"/>
      <c r="W172" s="26"/>
      <c r="Y172" s="26"/>
      <c r="AA172" s="26"/>
      <c r="AC172" s="26"/>
      <c r="AE172" s="26"/>
      <c r="AG172" s="26"/>
      <c r="AI172" s="26"/>
      <c r="AK172" s="26"/>
      <c r="AM172" s="26"/>
    </row>
    <row r="173" spans="2:39"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O173" s="19"/>
      <c r="Q173" s="19"/>
      <c r="S173" s="19"/>
      <c r="U173" s="19"/>
      <c r="W173" s="19"/>
      <c r="Y173" s="19"/>
      <c r="AA173" s="19"/>
      <c r="AC173" s="19"/>
      <c r="AE173" s="19"/>
      <c r="AG173" s="19"/>
      <c r="AI173" s="19"/>
      <c r="AK173" s="19"/>
      <c r="AM173" s="19"/>
    </row>
    <row r="174" spans="2:39" ht="15.75" customHeight="1">
      <c r="B174" s="16" t="s">
        <v>82</v>
      </c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O174" s="19"/>
      <c r="Q174" s="19"/>
      <c r="S174" s="19"/>
      <c r="U174" s="19"/>
      <c r="W174" s="19"/>
      <c r="Y174" s="19"/>
      <c r="AA174" s="19"/>
      <c r="AC174" s="19"/>
      <c r="AE174" s="19"/>
      <c r="AG174" s="19"/>
      <c r="AI174" s="19"/>
      <c r="AK174" s="19"/>
      <c r="AM174" s="19"/>
    </row>
    <row r="175" spans="2:39">
      <c r="B175" s="18" t="s">
        <v>83</v>
      </c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O175" s="19"/>
      <c r="Q175" s="19"/>
      <c r="S175" s="19"/>
      <c r="U175" s="19"/>
      <c r="W175" s="19"/>
      <c r="Y175" s="19"/>
      <c r="AA175" s="19"/>
      <c r="AC175" s="19"/>
      <c r="AE175" s="19"/>
      <c r="AG175" s="19"/>
      <c r="AI175" s="19"/>
      <c r="AK175" s="19"/>
      <c r="AM175" s="19"/>
    </row>
    <row r="176" spans="2:39">
      <c r="B176" t="s">
        <v>84</v>
      </c>
      <c r="C176" s="21">
        <f t="shared" ref="C176:M176" si="54">C75/C89</f>
        <v>0.52859957908282951</v>
      </c>
      <c r="D176" s="21">
        <f t="shared" si="54"/>
        <v>0.49994506051795251</v>
      </c>
      <c r="E176" s="21">
        <f t="shared" si="54"/>
        <v>0.48445733125312768</v>
      </c>
      <c r="F176" s="21">
        <f t="shared" si="54"/>
        <v>0.55435152513836394</v>
      </c>
      <c r="G176" s="21">
        <f t="shared" si="54"/>
        <v>0.51781397177537414</v>
      </c>
      <c r="H176" s="21">
        <f t="shared" si="54"/>
        <v>0.4545490168418248</v>
      </c>
      <c r="I176" s="21">
        <f t="shared" si="54"/>
        <v>0.43656306525815003</v>
      </c>
      <c r="J176" s="21">
        <f t="shared" si="54"/>
        <v>0.19548173982080072</v>
      </c>
      <c r="K176" s="21">
        <f t="shared" si="54"/>
        <v>0.10303204548980952</v>
      </c>
      <c r="L176" s="21">
        <f t="shared" si="54"/>
        <v>9.715886595631143E-2</v>
      </c>
      <c r="M176" s="21">
        <f t="shared" si="54"/>
        <v>0.15535855627671363</v>
      </c>
      <c r="O176" s="21"/>
      <c r="Q176" s="21"/>
      <c r="S176" s="21"/>
      <c r="U176" s="21"/>
      <c r="W176" s="21"/>
      <c r="Y176" s="21"/>
      <c r="AA176" s="21"/>
      <c r="AC176" s="21"/>
      <c r="AE176" s="21"/>
      <c r="AG176" s="21"/>
      <c r="AI176" s="21"/>
      <c r="AK176" s="21"/>
      <c r="AM176" s="21"/>
    </row>
    <row r="177" spans="2:39">
      <c r="B177" t="s">
        <v>85</v>
      </c>
      <c r="C177" s="21">
        <f t="shared" ref="C177:M177" si="55">C76/C89</f>
        <v>3.2167544694522265E-2</v>
      </c>
      <c r="D177" s="21">
        <f t="shared" si="55"/>
        <v>3.0229393468118197E-2</v>
      </c>
      <c r="E177" s="21">
        <f t="shared" si="55"/>
        <v>5.3597185834976892E-2</v>
      </c>
      <c r="F177" s="21">
        <f t="shared" si="55"/>
        <v>6.4274327882359261E-2</v>
      </c>
      <c r="G177" s="21">
        <f t="shared" si="55"/>
        <v>5.777933930617947E-2</v>
      </c>
      <c r="H177" s="21">
        <f t="shared" si="55"/>
        <v>7.5345418067539721E-2</v>
      </c>
      <c r="I177" s="21">
        <f t="shared" si="55"/>
        <v>5.3381018063482361E-2</v>
      </c>
      <c r="J177" s="21">
        <f t="shared" si="55"/>
        <v>1.3383236928660542E-2</v>
      </c>
      <c r="K177" s="21">
        <f t="shared" si="55"/>
        <v>2.6286246269269734E-2</v>
      </c>
      <c r="L177" s="21">
        <f t="shared" si="55"/>
        <v>2.4581274852391855E-2</v>
      </c>
      <c r="M177" s="21">
        <f t="shared" si="55"/>
        <v>3.8000633211967706E-2</v>
      </c>
      <c r="O177" s="21"/>
      <c r="Q177" s="21"/>
      <c r="S177" s="21"/>
      <c r="U177" s="21"/>
      <c r="W177" s="21"/>
      <c r="Y177" s="21"/>
      <c r="AA177" s="21"/>
      <c r="AC177" s="21"/>
      <c r="AE177" s="21"/>
      <c r="AG177" s="21"/>
      <c r="AI177" s="21"/>
      <c r="AK177" s="21"/>
      <c r="AM177" s="21"/>
    </row>
    <row r="178" spans="2:39">
      <c r="B178" s="18" t="s">
        <v>83</v>
      </c>
      <c r="C178" s="23">
        <f t="shared" ref="C178:M178" si="56">SUM(C176:C177)</f>
        <v>0.56076712377735172</v>
      </c>
      <c r="D178" s="23">
        <f t="shared" si="56"/>
        <v>0.53017445398607066</v>
      </c>
      <c r="E178" s="23">
        <f t="shared" si="56"/>
        <v>0.53805451708810459</v>
      </c>
      <c r="F178" s="23">
        <f t="shared" si="56"/>
        <v>0.61862585302072315</v>
      </c>
      <c r="G178" s="23">
        <f t="shared" si="56"/>
        <v>0.57559331108155365</v>
      </c>
      <c r="H178" s="23">
        <f t="shared" si="56"/>
        <v>0.5298944349093645</v>
      </c>
      <c r="I178" s="23">
        <f t="shared" si="56"/>
        <v>0.48994408332163242</v>
      </c>
      <c r="J178" s="23">
        <f t="shared" si="56"/>
        <v>0.20886497674946125</v>
      </c>
      <c r="K178" s="23">
        <f t="shared" si="56"/>
        <v>0.12931829175907925</v>
      </c>
      <c r="L178" s="23">
        <f t="shared" si="56"/>
        <v>0.12174014080870328</v>
      </c>
      <c r="M178" s="23">
        <f t="shared" si="56"/>
        <v>0.19335918948868133</v>
      </c>
      <c r="O178" s="23"/>
      <c r="Q178" s="23"/>
      <c r="S178" s="23"/>
      <c r="U178" s="23"/>
      <c r="W178" s="23"/>
      <c r="Y178" s="23"/>
      <c r="AA178" s="23"/>
      <c r="AC178" s="23"/>
      <c r="AE178" s="23"/>
      <c r="AG178" s="23"/>
      <c r="AI178" s="23"/>
      <c r="AK178" s="23"/>
      <c r="AM178" s="23"/>
    </row>
    <row r="179" spans="2:39"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O179" s="19"/>
      <c r="Q179" s="19"/>
      <c r="S179" s="19"/>
      <c r="U179" s="19"/>
      <c r="W179" s="19"/>
      <c r="Y179" s="19"/>
      <c r="AA179" s="19"/>
      <c r="AC179" s="19"/>
      <c r="AE179" s="19"/>
      <c r="AG179" s="19"/>
      <c r="AI179" s="19"/>
      <c r="AK179" s="19"/>
      <c r="AM179" s="19"/>
    </row>
    <row r="180" spans="2:39">
      <c r="B180" s="18" t="s">
        <v>86</v>
      </c>
      <c r="C180" s="24">
        <f t="shared" ref="C180:M180" si="57">C79/C89</f>
        <v>0</v>
      </c>
      <c r="D180" s="24">
        <f t="shared" si="57"/>
        <v>0</v>
      </c>
      <c r="E180" s="24">
        <f t="shared" si="57"/>
        <v>0</v>
      </c>
      <c r="F180" s="24">
        <f t="shared" si="57"/>
        <v>0</v>
      </c>
      <c r="G180" s="24">
        <f t="shared" si="57"/>
        <v>0</v>
      </c>
      <c r="H180" s="24">
        <f t="shared" si="57"/>
        <v>0</v>
      </c>
      <c r="I180" s="24">
        <f t="shared" si="57"/>
        <v>0</v>
      </c>
      <c r="J180" s="24">
        <f t="shared" si="57"/>
        <v>0.17919218555064081</v>
      </c>
      <c r="K180" s="24">
        <f t="shared" si="57"/>
        <v>0.1153628505973732</v>
      </c>
      <c r="L180" s="24">
        <f t="shared" si="57"/>
        <v>0.10878677293305562</v>
      </c>
      <c r="M180" s="24">
        <f t="shared" si="57"/>
        <v>0.20753522241570366</v>
      </c>
      <c r="O180" s="24"/>
      <c r="Q180" s="24"/>
      <c r="S180" s="24"/>
      <c r="U180" s="24"/>
      <c r="W180" s="24"/>
      <c r="Y180" s="24"/>
      <c r="AA180" s="24"/>
      <c r="AC180" s="24"/>
      <c r="AE180" s="24"/>
      <c r="AG180" s="24"/>
      <c r="AI180" s="24"/>
      <c r="AK180" s="24"/>
      <c r="AM180" s="24"/>
    </row>
    <row r="181" spans="2:39"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O181" s="19"/>
      <c r="Q181" s="19"/>
      <c r="S181" s="19"/>
      <c r="U181" s="19"/>
      <c r="W181" s="19"/>
      <c r="Y181" s="19"/>
      <c r="AA181" s="19"/>
      <c r="AC181" s="19"/>
      <c r="AE181" s="19"/>
      <c r="AG181" s="19"/>
      <c r="AI181" s="19"/>
      <c r="AK181" s="19"/>
      <c r="AM181" s="19"/>
    </row>
    <row r="182" spans="2:39">
      <c r="B182" s="18" t="s">
        <v>87</v>
      </c>
      <c r="C182" s="24">
        <f t="shared" ref="C182:M182" si="58">C81/C89</f>
        <v>-0.24028025398016953</v>
      </c>
      <c r="D182" s="24">
        <f t="shared" si="58"/>
        <v>-0.18745351274595984</v>
      </c>
      <c r="E182" s="24">
        <f t="shared" si="58"/>
        <v>-0.38665332195107593</v>
      </c>
      <c r="F182" s="24">
        <f t="shared" si="58"/>
        <v>-0.52951765148394259</v>
      </c>
      <c r="G182" s="24">
        <f t="shared" si="58"/>
        <v>-0.54625609623476468</v>
      </c>
      <c r="H182" s="24">
        <f t="shared" si="58"/>
        <v>-0.51202595631627212</v>
      </c>
      <c r="I182" s="24">
        <f t="shared" si="58"/>
        <v>-0.46043296193205752</v>
      </c>
      <c r="J182" s="24">
        <f t="shared" si="58"/>
        <v>-0.31883010094136327</v>
      </c>
      <c r="K182" s="24">
        <f t="shared" si="58"/>
        <v>-5.8683132079260333E-2</v>
      </c>
      <c r="L182" s="24">
        <f t="shared" si="58"/>
        <v>6.4964797824178466E-2</v>
      </c>
      <c r="M182" s="24">
        <f t="shared" si="58"/>
        <v>8.43280037992718E-2</v>
      </c>
      <c r="O182" s="24"/>
      <c r="Q182" s="24"/>
      <c r="S182" s="24"/>
      <c r="U182" s="24"/>
      <c r="W182" s="24"/>
      <c r="Y182" s="24"/>
      <c r="AA182" s="24"/>
      <c r="AC182" s="24"/>
      <c r="AE182" s="24"/>
      <c r="AG182" s="24"/>
      <c r="AI182" s="24"/>
      <c r="AK182" s="24"/>
      <c r="AM182" s="24"/>
    </row>
    <row r="183" spans="2:39">
      <c r="B183" s="18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O183" s="20"/>
      <c r="Q183" s="20"/>
      <c r="S183" s="20"/>
      <c r="U183" s="20"/>
      <c r="W183" s="20"/>
      <c r="Y183" s="20"/>
      <c r="AA183" s="20"/>
      <c r="AC183" s="20"/>
      <c r="AE183" s="20"/>
      <c r="AG183" s="20"/>
      <c r="AI183" s="20"/>
      <c r="AK183" s="20"/>
      <c r="AM183" s="20"/>
    </row>
    <row r="184" spans="2:39">
      <c r="B184" s="18" t="s">
        <v>88</v>
      </c>
      <c r="C184" s="24">
        <f t="shared" ref="C184:M184" si="59">C83/C89</f>
        <v>-9.5533005357533833E-3</v>
      </c>
      <c r="D184" s="24">
        <f t="shared" si="59"/>
        <v>-9.0354317398066136E-3</v>
      </c>
      <c r="E184" s="24">
        <f t="shared" si="59"/>
        <v>2.1290218127226163E-2</v>
      </c>
      <c r="F184" s="24">
        <f t="shared" si="59"/>
        <v>1.1884078737618885E-2</v>
      </c>
      <c r="G184" s="24">
        <f t="shared" si="59"/>
        <v>-2.6543194385190018E-2</v>
      </c>
      <c r="H184" s="24">
        <f t="shared" si="59"/>
        <v>-2.4866966042053622E-2</v>
      </c>
      <c r="I184" s="24">
        <f t="shared" si="59"/>
        <v>-7.84485393109942E-2</v>
      </c>
      <c r="J184" s="24">
        <f t="shared" si="59"/>
        <v>-3.64494726097312E-2</v>
      </c>
      <c r="K184" s="24">
        <f t="shared" si="59"/>
        <v>-4.1455600887160812E-2</v>
      </c>
      <c r="L184" s="24">
        <f t="shared" si="59"/>
        <v>-3.9092489628698809E-2</v>
      </c>
      <c r="M184" s="24">
        <f t="shared" si="59"/>
        <v>-0.16924172866867185</v>
      </c>
      <c r="O184" s="24"/>
      <c r="Q184" s="24"/>
      <c r="S184" s="24"/>
      <c r="U184" s="24"/>
      <c r="W184" s="24"/>
      <c r="Y184" s="24"/>
      <c r="AA184" s="24"/>
      <c r="AC184" s="24"/>
      <c r="AE184" s="24"/>
      <c r="AG184" s="24"/>
      <c r="AI184" s="24"/>
      <c r="AK184" s="24"/>
      <c r="AM184" s="24"/>
    </row>
    <row r="185" spans="2:39">
      <c r="B185" s="18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O185" s="20"/>
      <c r="Q185" s="20"/>
      <c r="S185" s="20"/>
      <c r="U185" s="20"/>
      <c r="W185" s="20"/>
      <c r="Y185" s="20"/>
      <c r="AA185" s="20"/>
      <c r="AC185" s="20"/>
      <c r="AE185" s="20"/>
      <c r="AG185" s="20"/>
      <c r="AI185" s="20"/>
      <c r="AK185" s="20"/>
      <c r="AM185" s="20"/>
    </row>
    <row r="186" spans="2:39">
      <c r="B186" s="18" t="s">
        <v>89</v>
      </c>
      <c r="C186" s="24">
        <f t="shared" ref="C186:M186" si="60">C85/C89</f>
        <v>0</v>
      </c>
      <c r="D186" s="24">
        <f t="shared" si="60"/>
        <v>0</v>
      </c>
      <c r="E186" s="24">
        <f t="shared" si="60"/>
        <v>0</v>
      </c>
      <c r="F186" s="24">
        <f t="shared" si="60"/>
        <v>0</v>
      </c>
      <c r="G186" s="24">
        <f t="shared" si="60"/>
        <v>0</v>
      </c>
      <c r="H186" s="24">
        <f t="shared" si="60"/>
        <v>0</v>
      </c>
      <c r="I186" s="24">
        <f t="shared" si="60"/>
        <v>0</v>
      </c>
      <c r="J186" s="24">
        <f t="shared" si="60"/>
        <v>0</v>
      </c>
      <c r="K186" s="24">
        <f t="shared" si="60"/>
        <v>0</v>
      </c>
      <c r="L186" s="24">
        <f t="shared" si="60"/>
        <v>0</v>
      </c>
      <c r="M186" s="24">
        <f t="shared" si="60"/>
        <v>0</v>
      </c>
      <c r="O186" s="24"/>
      <c r="Q186" s="24"/>
      <c r="S186" s="24"/>
      <c r="U186" s="24"/>
      <c r="W186" s="24"/>
      <c r="Y186" s="24"/>
      <c r="AA186" s="24"/>
      <c r="AC186" s="24"/>
      <c r="AE186" s="24"/>
      <c r="AG186" s="24"/>
      <c r="AI186" s="24"/>
      <c r="AK186" s="24"/>
      <c r="AM186" s="24"/>
    </row>
    <row r="187" spans="2:39">
      <c r="B187" s="18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O187" s="20"/>
      <c r="Q187" s="20"/>
      <c r="S187" s="20"/>
      <c r="U187" s="20"/>
      <c r="W187" s="20"/>
      <c r="Y187" s="20"/>
      <c r="AA187" s="20"/>
      <c r="AC187" s="20"/>
      <c r="AE187" s="20"/>
      <c r="AG187" s="20"/>
      <c r="AI187" s="20"/>
      <c r="AK187" s="20"/>
      <c r="AM187" s="20"/>
    </row>
    <row r="188" spans="2:39" ht="15.75" customHeight="1">
      <c r="B188" s="16" t="s">
        <v>82</v>
      </c>
      <c r="C188" s="26">
        <f t="shared" ref="C188:M188" si="61">SUM(C178:C186)</f>
        <v>0.31093356926142884</v>
      </c>
      <c r="D188" s="26">
        <f t="shared" si="61"/>
        <v>0.33368550950030423</v>
      </c>
      <c r="E188" s="26">
        <f t="shared" si="61"/>
        <v>0.17269141326425483</v>
      </c>
      <c r="F188" s="26">
        <f t="shared" si="61"/>
        <v>0.10099228027439945</v>
      </c>
      <c r="G188" s="26">
        <f t="shared" si="61"/>
        <v>2.7940204615989547E-3</v>
      </c>
      <c r="H188" s="26">
        <f t="shared" si="61"/>
        <v>-6.9984874489612478E-3</v>
      </c>
      <c r="I188" s="26">
        <f t="shared" si="61"/>
        <v>-4.8937417921419299E-2</v>
      </c>
      <c r="J188" s="26">
        <f t="shared" si="61"/>
        <v>3.2777588749007595E-2</v>
      </c>
      <c r="K188" s="26">
        <f t="shared" si="61"/>
        <v>0.14454240939003127</v>
      </c>
      <c r="L188" s="26">
        <f t="shared" si="61"/>
        <v>0.25639922193723852</v>
      </c>
      <c r="M188" s="26">
        <f t="shared" si="61"/>
        <v>0.31598068703498494</v>
      </c>
      <c r="O188" s="26"/>
      <c r="Q188" s="26"/>
      <c r="S188" s="26"/>
      <c r="U188" s="26"/>
      <c r="W188" s="26"/>
      <c r="Y188" s="26"/>
      <c r="AA188" s="26"/>
      <c r="AC188" s="26"/>
      <c r="AE188" s="26"/>
      <c r="AG188" s="26"/>
      <c r="AI188" s="26"/>
      <c r="AK188" s="26"/>
      <c r="AM188" s="26"/>
    </row>
    <row r="189" spans="2:39"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O189" s="19"/>
      <c r="Q189" s="19"/>
      <c r="S189" s="19"/>
      <c r="U189" s="19"/>
      <c r="W189" s="19"/>
      <c r="Y189" s="19"/>
      <c r="AA189" s="19"/>
      <c r="AC189" s="19"/>
      <c r="AE189" s="19"/>
      <c r="AG189" s="19"/>
      <c r="AI189" s="19"/>
      <c r="AK189" s="19"/>
      <c r="AM189" s="19"/>
    </row>
    <row r="190" spans="2:39" ht="15.75" customHeight="1">
      <c r="B190" s="16" t="s">
        <v>90</v>
      </c>
      <c r="C190" s="26">
        <f t="shared" ref="C190:M190" si="62">C188+C172</f>
        <v>0.99392753254065069</v>
      </c>
      <c r="D190" s="26">
        <f t="shared" si="62"/>
        <v>0.99152664142267888</v>
      </c>
      <c r="E190" s="26">
        <f t="shared" si="62"/>
        <v>0.98229372111506874</v>
      </c>
      <c r="F190" s="26">
        <f t="shared" si="62"/>
        <v>0.97683186760043705</v>
      </c>
      <c r="G190" s="26">
        <f t="shared" si="62"/>
        <v>0.9747534318769292</v>
      </c>
      <c r="H190" s="26">
        <f t="shared" si="62"/>
        <v>0.95994482715381779</v>
      </c>
      <c r="I190" s="26">
        <f t="shared" si="62"/>
        <v>0.9593220618965419</v>
      </c>
      <c r="J190" s="26">
        <f t="shared" si="62"/>
        <v>0.96688924804355225</v>
      </c>
      <c r="K190" s="26">
        <f t="shared" si="62"/>
        <v>0.9879338827888976</v>
      </c>
      <c r="L190" s="26">
        <f t="shared" si="62"/>
        <v>0.98775239701857365</v>
      </c>
      <c r="M190" s="26">
        <f t="shared" si="62"/>
        <v>0.99999999999999989</v>
      </c>
      <c r="O190" s="26"/>
      <c r="Q190" s="26"/>
      <c r="S190" s="26"/>
      <c r="U190" s="26"/>
      <c r="W190" s="26"/>
      <c r="Y190" s="26"/>
      <c r="AA190" s="26"/>
      <c r="AC190" s="26"/>
      <c r="AE190" s="26"/>
      <c r="AG190" s="26"/>
      <c r="AI190" s="26"/>
      <c r="AK190" s="26"/>
      <c r="AM190" s="26"/>
    </row>
  </sheetData>
  <pageMargins left="0.7" right="0.7" top="0.75" bottom="0.75" header="0.3" footer="0.3"/>
  <ignoredErrors>
    <ignoredError sqref="C9:K10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725C-E84A-4ECC-A2E4-702871F92E68}">
  <dimension ref="A1:I31"/>
  <sheetViews>
    <sheetView rightToLeft="1" workbookViewId="0"/>
  </sheetViews>
  <sheetFormatPr defaultRowHeight="14.25"/>
  <cols>
    <col min="6" max="6" width="23.5" style="84" bestFit="1" customWidth="1"/>
    <col min="7" max="9" width="9" style="84"/>
  </cols>
  <sheetData>
    <row r="1" spans="1:9">
      <c r="A1" s="119" t="s">
        <v>31</v>
      </c>
      <c r="B1" s="120">
        <v>2016</v>
      </c>
      <c r="C1" s="120">
        <f>B1-1</f>
        <v>2015</v>
      </c>
      <c r="D1" s="121">
        <f>C1-1</f>
        <v>2014</v>
      </c>
      <c r="F1" s="119" t="s">
        <v>31</v>
      </c>
      <c r="G1" s="120">
        <v>2016</v>
      </c>
      <c r="H1" s="120">
        <f>G1-1</f>
        <v>2015</v>
      </c>
      <c r="I1" s="121">
        <f>H1-1</f>
        <v>2014</v>
      </c>
    </row>
    <row r="2" spans="1:9">
      <c r="A2" s="122" t="s">
        <v>60</v>
      </c>
      <c r="B2" s="123">
        <v>15099</v>
      </c>
      <c r="C2" s="123">
        <v>19304</v>
      </c>
      <c r="D2" s="124">
        <v>23842</v>
      </c>
      <c r="F2" s="138" t="s">
        <v>60</v>
      </c>
      <c r="G2" s="137">
        <f>B2/$B$31</f>
        <v>6.7467392324293884E-2</v>
      </c>
      <c r="H2" s="137">
        <f>C2/$C$31</f>
        <v>8.1580904726485895E-2</v>
      </c>
      <c r="I2" s="139">
        <f>D2/$D$31</f>
        <v>0.1754584792911601</v>
      </c>
    </row>
    <row r="3" spans="1:9">
      <c r="A3" s="122" t="s">
        <v>61</v>
      </c>
      <c r="B3" s="123">
        <v>7401</v>
      </c>
      <c r="C3" s="123">
        <v>7282</v>
      </c>
      <c r="D3" s="124">
        <v>6422</v>
      </c>
      <c r="F3" s="138" t="s">
        <v>61</v>
      </c>
      <c r="G3" s="137">
        <f t="shared" ref="G3:G31" si="0">B3/$B$31</f>
        <v>3.3070148393410097E-2</v>
      </c>
      <c r="H3" s="137">
        <f t="shared" ref="H3:H31" si="1">C3/$C$31</f>
        <v>3.0774562174589223E-2</v>
      </c>
      <c r="I3" s="139">
        <f t="shared" ref="I3:I31" si="2">D3/$D$31</f>
        <v>4.7260899002090018E-2</v>
      </c>
    </row>
    <row r="4" spans="1:9">
      <c r="A4" s="126" t="s">
        <v>62</v>
      </c>
      <c r="B4" s="116">
        <v>22500</v>
      </c>
      <c r="C4" s="116">
        <v>26586</v>
      </c>
      <c r="D4" s="127">
        <v>30264</v>
      </c>
      <c r="F4" s="140" t="s">
        <v>62</v>
      </c>
      <c r="G4" s="141">
        <f t="shared" si="0"/>
        <v>0.10053754071770399</v>
      </c>
      <c r="H4" s="141">
        <f t="shared" si="1"/>
        <v>0.11235546690107512</v>
      </c>
      <c r="I4" s="142">
        <f t="shared" si="2"/>
        <v>0.22271937829325011</v>
      </c>
    </row>
    <row r="5" spans="1:9">
      <c r="A5" s="122" t="s">
        <v>64</v>
      </c>
      <c r="B5" s="123">
        <v>55126</v>
      </c>
      <c r="C5" s="123">
        <v>42587</v>
      </c>
      <c r="D5" s="124">
        <v>46793</v>
      </c>
      <c r="F5" s="138" t="s">
        <v>64</v>
      </c>
      <c r="G5" s="137">
        <f t="shared" si="0"/>
        <v>0.24632144309351778</v>
      </c>
      <c r="H5" s="137">
        <f t="shared" si="1"/>
        <v>0.17997751707350057</v>
      </c>
      <c r="I5" s="139">
        <f t="shared" si="2"/>
        <v>0.34435989520473342</v>
      </c>
    </row>
    <row r="6" spans="1:9">
      <c r="A6" s="122" t="s">
        <v>65</v>
      </c>
      <c r="B6" s="115">
        <v>7461</v>
      </c>
      <c r="C6" s="115">
        <v>8680</v>
      </c>
      <c r="D6" s="125">
        <v>6158</v>
      </c>
      <c r="F6" s="138" t="s">
        <v>65</v>
      </c>
      <c r="G6" s="143">
        <f t="shared" si="0"/>
        <v>3.3338248501990644E-2</v>
      </c>
      <c r="H6" s="143">
        <f t="shared" si="1"/>
        <v>3.6682669551693824E-2</v>
      </c>
      <c r="I6" s="144">
        <f t="shared" si="2"/>
        <v>4.5318065408730977E-2</v>
      </c>
    </row>
    <row r="7" spans="1:9">
      <c r="A7" s="122" t="s">
        <v>66</v>
      </c>
      <c r="B7" s="123">
        <f>SUM(B5:B6)</f>
        <v>62587</v>
      </c>
      <c r="C7" s="123">
        <f>SUM(C5:C6)</f>
        <v>51267</v>
      </c>
      <c r="D7" s="124">
        <f>SUM(D5:D6)</f>
        <v>52951</v>
      </c>
      <c r="F7" s="138" t="s">
        <v>66</v>
      </c>
      <c r="G7" s="137">
        <f t="shared" si="0"/>
        <v>0.27965969159550841</v>
      </c>
      <c r="H7" s="137">
        <f t="shared" si="1"/>
        <v>0.2166601866251944</v>
      </c>
      <c r="I7" s="139">
        <f t="shared" si="2"/>
        <v>0.38967796061346444</v>
      </c>
    </row>
    <row r="8" spans="1:9">
      <c r="A8" s="122" t="s">
        <v>67</v>
      </c>
      <c r="B8" s="123">
        <v>0</v>
      </c>
      <c r="C8" s="123">
        <v>0</v>
      </c>
      <c r="D8" s="124">
        <v>0</v>
      </c>
      <c r="F8" s="138" t="s">
        <v>67</v>
      </c>
      <c r="G8" s="137">
        <f t="shared" si="0"/>
        <v>0</v>
      </c>
      <c r="H8" s="137">
        <f t="shared" si="1"/>
        <v>0</v>
      </c>
      <c r="I8" s="139">
        <f t="shared" si="2"/>
        <v>0</v>
      </c>
    </row>
    <row r="9" spans="1:9">
      <c r="A9" s="126" t="s">
        <v>66</v>
      </c>
      <c r="B9" s="116">
        <f>SUM(B5:B8)</f>
        <v>125174</v>
      </c>
      <c r="C9" s="116">
        <f>SUM(C5:C8)</f>
        <v>102534</v>
      </c>
      <c r="D9" s="127">
        <f>SUM(D5:D8)</f>
        <v>105902</v>
      </c>
      <c r="F9" s="140" t="s">
        <v>66</v>
      </c>
      <c r="G9" s="141">
        <f t="shared" si="0"/>
        <v>0.55931938319101682</v>
      </c>
      <c r="H9" s="141">
        <f t="shared" si="1"/>
        <v>0.4333203732503888</v>
      </c>
      <c r="I9" s="142">
        <f t="shared" si="2"/>
        <v>0.77935592122692887</v>
      </c>
    </row>
    <row r="10" spans="1:9" ht="15">
      <c r="A10" s="130" t="s">
        <v>58</v>
      </c>
      <c r="B10" s="117">
        <v>85087</v>
      </c>
      <c r="C10" s="117">
        <v>77853</v>
      </c>
      <c r="D10" s="131">
        <v>83215</v>
      </c>
      <c r="F10" s="145" t="s">
        <v>58</v>
      </c>
      <c r="G10" s="146">
        <f t="shared" si="0"/>
        <v>0.3801972323132124</v>
      </c>
      <c r="H10" s="146">
        <f t="shared" si="1"/>
        <v>0.32901565352626955</v>
      </c>
      <c r="I10" s="147">
        <f t="shared" si="2"/>
        <v>0.61239733890671455</v>
      </c>
    </row>
    <row r="11" spans="1:9">
      <c r="A11" s="122" t="s">
        <v>70</v>
      </c>
      <c r="B11" s="123">
        <v>0</v>
      </c>
      <c r="C11" s="123">
        <v>0</v>
      </c>
      <c r="D11" s="124">
        <v>0</v>
      </c>
      <c r="F11" s="138" t="s">
        <v>70</v>
      </c>
      <c r="G11" s="137">
        <f t="shared" si="0"/>
        <v>0</v>
      </c>
      <c r="H11" s="137">
        <f t="shared" si="1"/>
        <v>0</v>
      </c>
      <c r="I11" s="139">
        <f t="shared" si="2"/>
        <v>0</v>
      </c>
    </row>
    <row r="12" spans="1:9">
      <c r="A12" s="122" t="s">
        <v>71</v>
      </c>
      <c r="B12" s="123">
        <v>61733</v>
      </c>
      <c r="C12" s="123">
        <v>69134</v>
      </c>
      <c r="D12" s="124">
        <v>22282</v>
      </c>
      <c r="F12" s="138" t="s">
        <v>71</v>
      </c>
      <c r="G12" s="137">
        <f t="shared" si="0"/>
        <v>0.2758437333833787</v>
      </c>
      <c r="H12" s="137">
        <f t="shared" si="1"/>
        <v>0.29216816552843328</v>
      </c>
      <c r="I12" s="139">
        <f t="shared" si="2"/>
        <v>0.16397809896676577</v>
      </c>
    </row>
    <row r="13" spans="1:9">
      <c r="A13" s="122" t="s">
        <v>72</v>
      </c>
      <c r="B13" s="123">
        <v>5951</v>
      </c>
      <c r="C13" s="123">
        <v>8447</v>
      </c>
      <c r="D13" s="124">
        <v>4189</v>
      </c>
      <c r="F13" s="138" t="s">
        <v>72</v>
      </c>
      <c r="G13" s="137">
        <f t="shared" si="0"/>
        <v>2.6591062436046954E-2</v>
      </c>
      <c r="H13" s="137">
        <f t="shared" si="1"/>
        <v>3.5697984988843058E-2</v>
      </c>
      <c r="I13" s="139">
        <f t="shared" si="2"/>
        <v>3.0827764858261459E-2</v>
      </c>
    </row>
    <row r="14" spans="1:9">
      <c r="A14" s="126" t="s">
        <v>69</v>
      </c>
      <c r="B14" s="116">
        <f>SUM(B11:B13)</f>
        <v>67684</v>
      </c>
      <c r="C14" s="116">
        <f>SUM(C11:C13)</f>
        <v>77581</v>
      </c>
      <c r="D14" s="127">
        <f>SUM(D11:D13)</f>
        <v>26471</v>
      </c>
      <c r="F14" s="140" t="s">
        <v>69</v>
      </c>
      <c r="G14" s="141">
        <f t="shared" si="0"/>
        <v>0.30243479581942562</v>
      </c>
      <c r="H14" s="141">
        <f t="shared" si="1"/>
        <v>0.32786615051727636</v>
      </c>
      <c r="I14" s="142">
        <f t="shared" si="2"/>
        <v>0.19480586382502724</v>
      </c>
    </row>
    <row r="15" spans="1:9">
      <c r="A15" s="122" t="s">
        <v>74</v>
      </c>
      <c r="B15" s="123">
        <v>0</v>
      </c>
      <c r="C15" s="123">
        <v>0</v>
      </c>
      <c r="D15" s="124">
        <v>326</v>
      </c>
      <c r="F15" s="138" t="s">
        <v>74</v>
      </c>
      <c r="G15" s="137">
        <f t="shared" si="0"/>
        <v>0</v>
      </c>
      <c r="H15" s="137">
        <f t="shared" si="1"/>
        <v>0</v>
      </c>
      <c r="I15" s="139">
        <f t="shared" si="2"/>
        <v>2.3991051190721496E-3</v>
      </c>
    </row>
    <row r="16" spans="1:9">
      <c r="A16" s="122" t="s">
        <v>75</v>
      </c>
      <c r="B16" s="123">
        <v>81</v>
      </c>
      <c r="C16" s="123">
        <v>227</v>
      </c>
      <c r="D16" s="124">
        <v>0</v>
      </c>
      <c r="F16" s="138" t="s">
        <v>75</v>
      </c>
      <c r="G16" s="137">
        <f t="shared" si="0"/>
        <v>3.6193514658373438E-4</v>
      </c>
      <c r="H16" s="137">
        <f t="shared" si="1"/>
        <v>9.5932787882885924E-4</v>
      </c>
      <c r="I16" s="139">
        <f t="shared" si="2"/>
        <v>0</v>
      </c>
    </row>
    <row r="17" spans="1:9">
      <c r="A17" s="122" t="s">
        <v>76</v>
      </c>
      <c r="B17" s="123">
        <v>0</v>
      </c>
      <c r="C17" s="123">
        <v>0</v>
      </c>
      <c r="D17" s="124">
        <v>0</v>
      </c>
      <c r="F17" s="138" t="s">
        <v>76</v>
      </c>
      <c r="G17" s="137">
        <f t="shared" si="0"/>
        <v>0</v>
      </c>
      <c r="H17" s="137">
        <f t="shared" si="1"/>
        <v>0</v>
      </c>
      <c r="I17" s="139">
        <f t="shared" si="2"/>
        <v>0</v>
      </c>
    </row>
    <row r="18" spans="1:9">
      <c r="A18" s="126" t="s">
        <v>77</v>
      </c>
      <c r="B18" s="116">
        <v>81</v>
      </c>
      <c r="C18" s="116">
        <v>227</v>
      </c>
      <c r="D18" s="127">
        <v>326</v>
      </c>
      <c r="F18" s="140" t="s">
        <v>77</v>
      </c>
      <c r="G18" s="141">
        <f t="shared" si="0"/>
        <v>3.6193514658373438E-4</v>
      </c>
      <c r="H18" s="141">
        <f t="shared" si="1"/>
        <v>9.5932787882885924E-4</v>
      </c>
      <c r="I18" s="142">
        <f t="shared" si="2"/>
        <v>2.3991051190721496E-3</v>
      </c>
    </row>
    <row r="19" spans="1:9">
      <c r="A19" s="134" t="s">
        <v>78</v>
      </c>
      <c r="B19" s="128">
        <v>1359</v>
      </c>
      <c r="C19" s="128">
        <v>2004</v>
      </c>
      <c r="D19" s="129">
        <v>2405</v>
      </c>
      <c r="F19" s="148" t="s">
        <v>78</v>
      </c>
      <c r="G19" s="149">
        <f t="shared" si="0"/>
        <v>6.0724674593493214E-3</v>
      </c>
      <c r="H19" s="149">
        <f t="shared" si="1"/>
        <v>8.4691324633173297E-3</v>
      </c>
      <c r="I19" s="150">
        <f t="shared" si="2"/>
        <v>1.7698919666774601E-2</v>
      </c>
    </row>
    <row r="20" spans="1:9" ht="15.75">
      <c r="A20" s="132" t="s">
        <v>79</v>
      </c>
      <c r="B20" s="118">
        <v>69124</v>
      </c>
      <c r="C20" s="118">
        <v>79812</v>
      </c>
      <c r="D20" s="133">
        <v>29202</v>
      </c>
      <c r="F20" s="151" t="s">
        <v>79</v>
      </c>
      <c r="G20" s="152">
        <f t="shared" si="0"/>
        <v>0.3088691984253587</v>
      </c>
      <c r="H20" s="152">
        <f t="shared" si="1"/>
        <v>0.33729461085942253</v>
      </c>
      <c r="I20" s="153">
        <f t="shared" si="2"/>
        <v>0.21490388861087398</v>
      </c>
    </row>
    <row r="21" spans="1:9">
      <c r="A21" s="126" t="s">
        <v>80</v>
      </c>
      <c r="B21" s="128">
        <v>0</v>
      </c>
      <c r="C21" s="128">
        <v>0</v>
      </c>
      <c r="D21" s="129">
        <v>0</v>
      </c>
      <c r="F21" s="140" t="s">
        <v>80</v>
      </c>
      <c r="G21" s="149">
        <f t="shared" si="0"/>
        <v>0</v>
      </c>
      <c r="H21" s="149">
        <f t="shared" si="1"/>
        <v>0</v>
      </c>
      <c r="I21" s="150">
        <f t="shared" si="2"/>
        <v>0</v>
      </c>
    </row>
    <row r="22" spans="1:9" ht="15.75">
      <c r="A22" s="132" t="s">
        <v>81</v>
      </c>
      <c r="B22" s="118">
        <v>154211</v>
      </c>
      <c r="C22" s="118">
        <v>157666</v>
      </c>
      <c r="D22" s="133">
        <v>112417</v>
      </c>
      <c r="F22" s="151" t="s">
        <v>81</v>
      </c>
      <c r="G22" s="152">
        <f t="shared" si="0"/>
        <v>0.6890664307385711</v>
      </c>
      <c r="H22" s="152">
        <f t="shared" si="1"/>
        <v>0.66631449049969571</v>
      </c>
      <c r="I22" s="153">
        <f t="shared" si="2"/>
        <v>0.8273012275175885</v>
      </c>
    </row>
    <row r="23" spans="1:9">
      <c r="A23" s="122" t="s">
        <v>84</v>
      </c>
      <c r="B23" s="123">
        <v>118299</v>
      </c>
      <c r="C23" s="123">
        <v>118299</v>
      </c>
      <c r="D23" s="124">
        <v>65830</v>
      </c>
      <c r="F23" s="138" t="s">
        <v>84</v>
      </c>
      <c r="G23" s="137">
        <f t="shared" si="0"/>
        <v>0.52859957908282951</v>
      </c>
      <c r="H23" s="137">
        <f t="shared" si="1"/>
        <v>0.49994506051795251</v>
      </c>
      <c r="I23" s="139">
        <f t="shared" si="2"/>
        <v>0.48445733125312768</v>
      </c>
    </row>
    <row r="24" spans="1:9">
      <c r="A24" s="122" t="s">
        <v>85</v>
      </c>
      <c r="B24" s="123">
        <v>7199</v>
      </c>
      <c r="C24" s="123">
        <v>7153</v>
      </c>
      <c r="D24" s="124">
        <v>7283</v>
      </c>
      <c r="F24" s="138" t="s">
        <v>85</v>
      </c>
      <c r="G24" s="137">
        <f t="shared" si="0"/>
        <v>3.2167544694522265E-2</v>
      </c>
      <c r="H24" s="137">
        <f t="shared" si="1"/>
        <v>3.0229393468118197E-2</v>
      </c>
      <c r="I24" s="139">
        <f t="shared" si="2"/>
        <v>5.3597185834976892E-2</v>
      </c>
    </row>
    <row r="25" spans="1:9">
      <c r="A25" s="135" t="s">
        <v>83</v>
      </c>
      <c r="B25" s="116">
        <v>125498</v>
      </c>
      <c r="C25" s="116">
        <v>125452</v>
      </c>
      <c r="D25" s="127">
        <v>73113</v>
      </c>
      <c r="F25" s="154" t="s">
        <v>83</v>
      </c>
      <c r="G25" s="141">
        <f t="shared" si="0"/>
        <v>0.56076712377735183</v>
      </c>
      <c r="H25" s="141">
        <f t="shared" si="1"/>
        <v>0.53017445398607077</v>
      </c>
      <c r="I25" s="142">
        <f t="shared" si="2"/>
        <v>0.53805451708810459</v>
      </c>
    </row>
    <row r="26" spans="1:9">
      <c r="A26" s="126" t="s">
        <v>86</v>
      </c>
      <c r="B26" s="128">
        <v>0</v>
      </c>
      <c r="C26" s="128">
        <v>0</v>
      </c>
      <c r="D26" s="129">
        <v>0</v>
      </c>
      <c r="F26" s="140" t="s">
        <v>86</v>
      </c>
      <c r="G26" s="149">
        <f t="shared" si="0"/>
        <v>0</v>
      </c>
      <c r="H26" s="149">
        <f t="shared" si="1"/>
        <v>0</v>
      </c>
      <c r="I26" s="150">
        <f t="shared" si="2"/>
        <v>0</v>
      </c>
    </row>
    <row r="27" spans="1:9">
      <c r="A27" s="126" t="s">
        <v>87</v>
      </c>
      <c r="B27" s="128">
        <v>-53774</v>
      </c>
      <c r="C27" s="128">
        <v>-44356</v>
      </c>
      <c r="D27" s="129">
        <v>-52540</v>
      </c>
      <c r="F27" s="140" t="s">
        <v>87</v>
      </c>
      <c r="G27" s="156">
        <f t="shared" si="0"/>
        <v>-0.24028025398016953</v>
      </c>
      <c r="H27" s="156">
        <f t="shared" si="1"/>
        <v>-0.18745351274595984</v>
      </c>
      <c r="I27" s="157">
        <f t="shared" si="2"/>
        <v>-0.38665332195107593</v>
      </c>
    </row>
    <row r="28" spans="1:9">
      <c r="A28" s="126" t="s">
        <v>88</v>
      </c>
      <c r="B28" s="128">
        <v>-2138</v>
      </c>
      <c r="C28" s="128">
        <v>-2138</v>
      </c>
      <c r="D28" s="129">
        <v>2893</v>
      </c>
      <c r="F28" s="140" t="s">
        <v>88</v>
      </c>
      <c r="G28" s="156">
        <f t="shared" si="0"/>
        <v>-9.5533005357533833E-3</v>
      </c>
      <c r="H28" s="156">
        <f t="shared" si="1"/>
        <v>-9.0354317398066136E-3</v>
      </c>
      <c r="I28" s="150">
        <f t="shared" si="2"/>
        <v>2.1290218127226163E-2</v>
      </c>
    </row>
    <row r="29" spans="1:9">
      <c r="A29" s="126" t="s">
        <v>89</v>
      </c>
      <c r="B29" s="128">
        <v>0</v>
      </c>
      <c r="C29" s="128">
        <v>0</v>
      </c>
      <c r="D29" s="129">
        <v>0</v>
      </c>
      <c r="F29" s="140" t="s">
        <v>89</v>
      </c>
      <c r="G29" s="149">
        <f t="shared" si="0"/>
        <v>0</v>
      </c>
      <c r="H29" s="149">
        <f t="shared" si="1"/>
        <v>0</v>
      </c>
      <c r="I29" s="150">
        <f t="shared" si="2"/>
        <v>0</v>
      </c>
    </row>
    <row r="30" spans="1:9" ht="15.75">
      <c r="A30" s="132" t="s">
        <v>82</v>
      </c>
      <c r="B30" s="118">
        <v>69586</v>
      </c>
      <c r="C30" s="118">
        <v>78958</v>
      </c>
      <c r="D30" s="133">
        <v>23466</v>
      </c>
      <c r="F30" s="151" t="s">
        <v>82</v>
      </c>
      <c r="G30" s="152">
        <f t="shared" si="0"/>
        <v>0.3109335692614289</v>
      </c>
      <c r="H30" s="152">
        <f t="shared" si="1"/>
        <v>0.33368550950030429</v>
      </c>
      <c r="I30" s="153">
        <f t="shared" si="2"/>
        <v>0.1726914132642548</v>
      </c>
    </row>
    <row r="31" spans="1:9" ht="15.75">
      <c r="A31" s="136" t="s">
        <v>90</v>
      </c>
      <c r="B31" s="118">
        <v>223797</v>
      </c>
      <c r="C31" s="118">
        <v>236624</v>
      </c>
      <c r="D31" s="133">
        <v>135884</v>
      </c>
      <c r="F31" s="155" t="s">
        <v>90</v>
      </c>
      <c r="G31" s="152">
        <f t="shared" si="0"/>
        <v>1</v>
      </c>
      <c r="H31" s="152">
        <f t="shared" si="1"/>
        <v>1</v>
      </c>
      <c r="I31" s="153">
        <f t="shared" si="2"/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BC62-2D68-4618-BE58-8BB48C970D79}">
  <dimension ref="A1:I26"/>
  <sheetViews>
    <sheetView rightToLeft="1" workbookViewId="0">
      <selection activeCell="D1" sqref="D1"/>
    </sheetView>
  </sheetViews>
  <sheetFormatPr defaultRowHeight="14.25"/>
  <cols>
    <col min="1" max="1" width="19.375" bestFit="1" customWidth="1"/>
    <col min="6" max="6" width="19.375" style="84" bestFit="1" customWidth="1"/>
    <col min="7" max="9" width="10" style="84" bestFit="1" customWidth="1"/>
  </cols>
  <sheetData>
    <row r="1" spans="1:9">
      <c r="A1" s="119" t="s">
        <v>31</v>
      </c>
      <c r="B1" s="120">
        <v>2016</v>
      </c>
      <c r="C1" s="120">
        <f>B1-1</f>
        <v>2015</v>
      </c>
      <c r="D1" s="121">
        <f>C1-1</f>
        <v>2014</v>
      </c>
      <c r="F1" s="119" t="s">
        <v>31</v>
      </c>
      <c r="G1" s="120">
        <v>2016</v>
      </c>
      <c r="H1" s="120">
        <f>G1-1</f>
        <v>2015</v>
      </c>
      <c r="I1" s="121">
        <f>H1-1</f>
        <v>2014</v>
      </c>
    </row>
    <row r="2" spans="1:9">
      <c r="A2" s="122" t="s">
        <v>35</v>
      </c>
      <c r="B2" s="123">
        <v>12100</v>
      </c>
      <c r="C2" s="123">
        <v>11769</v>
      </c>
      <c r="D2" s="124">
        <v>6092</v>
      </c>
      <c r="F2" s="158" t="s">
        <v>35</v>
      </c>
      <c r="G2" s="159">
        <f>B2/$B$26</f>
        <v>5.4066855230409702E-2</v>
      </c>
      <c r="H2" s="159">
        <f>C2/$C$26</f>
        <v>4.9737135708972882E-2</v>
      </c>
      <c r="I2" s="160">
        <f>D2/$D$26</f>
        <v>4.4832357010391219E-2</v>
      </c>
    </row>
    <row r="3" spans="1:9">
      <c r="A3" s="122" t="s">
        <v>36</v>
      </c>
      <c r="B3" s="115">
        <v>0</v>
      </c>
      <c r="C3" s="115">
        <v>0</v>
      </c>
      <c r="D3" s="125">
        <v>0</v>
      </c>
      <c r="F3" s="158" t="s">
        <v>36</v>
      </c>
      <c r="G3" s="161">
        <f t="shared" ref="G3:G26" si="0">B3/$B$26</f>
        <v>0</v>
      </c>
      <c r="H3" s="161">
        <f t="shared" ref="H3:H26" si="1">C3/$C$26</f>
        <v>0</v>
      </c>
      <c r="I3" s="162">
        <f t="shared" ref="I3:I26" si="2">D3/$D$26</f>
        <v>0</v>
      </c>
    </row>
    <row r="4" spans="1:9">
      <c r="A4" s="122" t="s">
        <v>37</v>
      </c>
      <c r="B4" s="123">
        <v>12100</v>
      </c>
      <c r="C4" s="123">
        <v>11769</v>
      </c>
      <c r="D4" s="124">
        <v>6092</v>
      </c>
      <c r="F4" s="158" t="s">
        <v>37</v>
      </c>
      <c r="G4" s="159">
        <f t="shared" si="0"/>
        <v>5.4066855230409702E-2</v>
      </c>
      <c r="H4" s="159">
        <f t="shared" si="1"/>
        <v>4.9737135708972882E-2</v>
      </c>
      <c r="I4" s="160">
        <f t="shared" si="2"/>
        <v>4.4832357010391219E-2</v>
      </c>
    </row>
    <row r="5" spans="1:9">
      <c r="A5" s="122" t="s">
        <v>38</v>
      </c>
      <c r="B5" s="123">
        <v>821</v>
      </c>
      <c r="C5" s="123">
        <v>538</v>
      </c>
      <c r="D5" s="124">
        <v>0</v>
      </c>
      <c r="F5" s="158" t="s">
        <v>38</v>
      </c>
      <c r="G5" s="159">
        <f t="shared" si="0"/>
        <v>3.6685031524104432E-3</v>
      </c>
      <c r="H5" s="159">
        <f t="shared" si="1"/>
        <v>2.2736493339644329E-3</v>
      </c>
      <c r="I5" s="160">
        <f t="shared" si="2"/>
        <v>0</v>
      </c>
    </row>
    <row r="6" spans="1:9">
      <c r="A6" s="126" t="s">
        <v>34</v>
      </c>
      <c r="B6" s="116">
        <v>12921</v>
      </c>
      <c r="C6" s="116">
        <v>12307</v>
      </c>
      <c r="D6" s="127">
        <v>6092</v>
      </c>
      <c r="F6" s="163" t="s">
        <v>34</v>
      </c>
      <c r="G6" s="164">
        <f t="shared" si="0"/>
        <v>5.7735358382820144E-2</v>
      </c>
      <c r="H6" s="164">
        <f t="shared" si="1"/>
        <v>5.2010785042937317E-2</v>
      </c>
      <c r="I6" s="165">
        <f t="shared" si="2"/>
        <v>4.4832357010391219E-2</v>
      </c>
    </row>
    <row r="7" spans="1:9">
      <c r="A7" s="122" t="s">
        <v>40</v>
      </c>
      <c r="B7" s="123">
        <v>105746</v>
      </c>
      <c r="C7" s="123">
        <v>96312</v>
      </c>
      <c r="D7" s="124">
        <v>59332</v>
      </c>
      <c r="F7" s="158" t="s">
        <v>40</v>
      </c>
      <c r="G7" s="159">
        <f t="shared" si="0"/>
        <v>0.47250856803263674</v>
      </c>
      <c r="H7" s="159">
        <f t="shared" si="1"/>
        <v>0.40702549191967002</v>
      </c>
      <c r="I7" s="160">
        <f t="shared" si="2"/>
        <v>0.43663713167113127</v>
      </c>
    </row>
    <row r="8" spans="1:9">
      <c r="A8" s="122" t="s">
        <v>41</v>
      </c>
      <c r="B8" s="123">
        <v>3459</v>
      </c>
      <c r="C8" s="123">
        <v>6029</v>
      </c>
      <c r="D8" s="124">
        <v>4164</v>
      </c>
      <c r="F8" s="158" t="s">
        <v>41</v>
      </c>
      <c r="G8" s="159">
        <f t="shared" si="0"/>
        <v>1.545597125966836E-2</v>
      </c>
      <c r="H8" s="159">
        <f t="shared" si="1"/>
        <v>2.5479241328014064E-2</v>
      </c>
      <c r="I8" s="160">
        <f t="shared" si="2"/>
        <v>3.0643784404344881E-2</v>
      </c>
    </row>
    <row r="9" spans="1:9">
      <c r="A9" s="126" t="s">
        <v>39</v>
      </c>
      <c r="B9" s="116">
        <f>SUM(B7:B8)</f>
        <v>109205</v>
      </c>
      <c r="C9" s="116">
        <f>SUM(C7:C8)</f>
        <v>102341</v>
      </c>
      <c r="D9" s="127">
        <f>SUM(D7:D8)</f>
        <v>63496</v>
      </c>
      <c r="F9" s="163" t="s">
        <v>39</v>
      </c>
      <c r="G9" s="164">
        <f t="shared" si="0"/>
        <v>0.4879645392923051</v>
      </c>
      <c r="H9" s="164">
        <f t="shared" si="1"/>
        <v>0.43250473324768407</v>
      </c>
      <c r="I9" s="165">
        <f t="shared" si="2"/>
        <v>0.46728091607547612</v>
      </c>
    </row>
    <row r="10" spans="1:9">
      <c r="A10" s="122" t="s">
        <v>43</v>
      </c>
      <c r="B10" s="123">
        <v>7510</v>
      </c>
      <c r="C10" s="123">
        <v>9581</v>
      </c>
      <c r="D10" s="124">
        <v>13163</v>
      </c>
      <c r="F10" s="158" t="s">
        <v>43</v>
      </c>
      <c r="G10" s="159">
        <f t="shared" si="0"/>
        <v>3.3557196923998091E-2</v>
      </c>
      <c r="H10" s="159">
        <f t="shared" si="1"/>
        <v>4.0490398268983707E-2</v>
      </c>
      <c r="I10" s="160">
        <f t="shared" si="2"/>
        <v>9.6869388596155542E-2</v>
      </c>
    </row>
    <row r="11" spans="1:9">
      <c r="A11" s="122" t="s">
        <v>44</v>
      </c>
      <c r="B11" s="123">
        <v>8674</v>
      </c>
      <c r="C11" s="123">
        <v>14091</v>
      </c>
      <c r="D11" s="124">
        <v>14942</v>
      </c>
      <c r="F11" s="158" t="s">
        <v>44</v>
      </c>
      <c r="G11" s="159">
        <f t="shared" si="0"/>
        <v>3.8758339030460644E-2</v>
      </c>
      <c r="H11" s="159">
        <f t="shared" si="1"/>
        <v>5.9550172425451346E-2</v>
      </c>
      <c r="I11" s="160">
        <f t="shared" si="2"/>
        <v>0.10996143769685908</v>
      </c>
    </row>
    <row r="12" spans="1:9">
      <c r="A12" s="126" t="s">
        <v>42</v>
      </c>
      <c r="B12" s="116">
        <v>16184</v>
      </c>
      <c r="C12" s="116">
        <v>23672</v>
      </c>
      <c r="D12" s="127">
        <v>28105</v>
      </c>
      <c r="F12" s="163" t="s">
        <v>42</v>
      </c>
      <c r="G12" s="164">
        <f t="shared" si="0"/>
        <v>7.2315535954458735E-2</v>
      </c>
      <c r="H12" s="164">
        <f t="shared" si="1"/>
        <v>0.10004057069443505</v>
      </c>
      <c r="I12" s="165">
        <f t="shared" si="2"/>
        <v>0.20683082629301464</v>
      </c>
    </row>
    <row r="13" spans="1:9">
      <c r="A13" s="126" t="s">
        <v>45</v>
      </c>
      <c r="B13" s="128">
        <v>1558</v>
      </c>
      <c r="C13" s="128">
        <v>1439</v>
      </c>
      <c r="D13" s="129">
        <v>0</v>
      </c>
      <c r="F13" s="163" t="s">
        <v>45</v>
      </c>
      <c r="G13" s="166">
        <f t="shared" si="0"/>
        <v>6.9616661528081256E-3</v>
      </c>
      <c r="H13" s="166">
        <f t="shared" si="1"/>
        <v>6.0813780512543108E-3</v>
      </c>
      <c r="I13" s="167">
        <f t="shared" si="2"/>
        <v>0</v>
      </c>
    </row>
    <row r="14" spans="1:9" ht="15">
      <c r="A14" s="130" t="s">
        <v>33</v>
      </c>
      <c r="B14" s="117">
        <v>139868</v>
      </c>
      <c r="C14" s="117">
        <v>139760</v>
      </c>
      <c r="D14" s="131">
        <v>97693</v>
      </c>
      <c r="F14" s="168" t="s">
        <v>33</v>
      </c>
      <c r="G14" s="169">
        <f t="shared" si="0"/>
        <v>0.62497709978239213</v>
      </c>
      <c r="H14" s="169">
        <f t="shared" si="1"/>
        <v>0.59064169315031445</v>
      </c>
      <c r="I14" s="170">
        <f t="shared" si="2"/>
        <v>0.71894409937888204</v>
      </c>
    </row>
    <row r="15" spans="1:9">
      <c r="A15" s="122" t="s">
        <v>48</v>
      </c>
      <c r="B15" s="123">
        <v>29624</v>
      </c>
      <c r="C15" s="123">
        <v>31223</v>
      </c>
      <c r="D15" s="124">
        <v>26165</v>
      </c>
      <c r="F15" s="158" t="s">
        <v>48</v>
      </c>
      <c r="G15" s="159">
        <f t="shared" si="0"/>
        <v>0.13236996027650058</v>
      </c>
      <c r="H15" s="159">
        <f t="shared" si="1"/>
        <v>0.1319519575360065</v>
      </c>
      <c r="I15" s="160">
        <f t="shared" si="2"/>
        <v>0.19255394306908835</v>
      </c>
    </row>
    <row r="16" spans="1:9">
      <c r="A16" s="122" t="s">
        <v>49</v>
      </c>
      <c r="B16" s="123">
        <v>2129</v>
      </c>
      <c r="C16" s="123">
        <v>2023</v>
      </c>
      <c r="D16" s="124">
        <v>0</v>
      </c>
      <c r="F16" s="158" t="s">
        <v>49</v>
      </c>
      <c r="G16" s="159">
        <f t="shared" si="0"/>
        <v>9.5130855194663026E-3</v>
      </c>
      <c r="H16" s="159">
        <f t="shared" si="1"/>
        <v>8.5494286293867055E-3</v>
      </c>
      <c r="I16" s="160">
        <f t="shared" si="2"/>
        <v>0</v>
      </c>
    </row>
    <row r="17" spans="1:9">
      <c r="A17" s="122" t="s">
        <v>50</v>
      </c>
      <c r="B17" s="123">
        <v>460</v>
      </c>
      <c r="C17" s="123">
        <v>845</v>
      </c>
      <c r="D17" s="124">
        <v>1618</v>
      </c>
      <c r="F17" s="158" t="s">
        <v>50</v>
      </c>
      <c r="G17" s="159">
        <f t="shared" si="0"/>
        <v>2.0554341657841703E-3</v>
      </c>
      <c r="H17" s="159">
        <f t="shared" si="1"/>
        <v>3.5710663330854012E-3</v>
      </c>
      <c r="I17" s="160">
        <f t="shared" si="2"/>
        <v>1.1907214977480792E-2</v>
      </c>
    </row>
    <row r="18" spans="1:9">
      <c r="A18" s="126" t="s">
        <v>47</v>
      </c>
      <c r="B18" s="116">
        <v>32213</v>
      </c>
      <c r="C18" s="116">
        <v>34092</v>
      </c>
      <c r="D18" s="127">
        <v>27783</v>
      </c>
      <c r="F18" s="163" t="s">
        <v>47</v>
      </c>
      <c r="G18" s="164">
        <f t="shared" si="0"/>
        <v>0.14393847996175105</v>
      </c>
      <c r="H18" s="164">
        <f t="shared" si="1"/>
        <v>0.14407667861248225</v>
      </c>
      <c r="I18" s="165">
        <f t="shared" si="2"/>
        <v>0.20446115804656914</v>
      </c>
    </row>
    <row r="19" spans="1:9">
      <c r="A19" s="122" t="s">
        <v>52</v>
      </c>
      <c r="B19" s="123">
        <v>2770</v>
      </c>
      <c r="C19" s="123">
        <v>0</v>
      </c>
      <c r="D19" s="124">
        <v>0</v>
      </c>
      <c r="F19" s="158" t="s">
        <v>52</v>
      </c>
      <c r="G19" s="159">
        <f t="shared" si="0"/>
        <v>1.2377288346135114E-2</v>
      </c>
      <c r="H19" s="159">
        <f t="shared" si="1"/>
        <v>0</v>
      </c>
      <c r="I19" s="160">
        <f t="shared" si="2"/>
        <v>0</v>
      </c>
    </row>
    <row r="20" spans="1:9">
      <c r="A20" s="122" t="s">
        <v>53</v>
      </c>
      <c r="B20" s="123">
        <v>0</v>
      </c>
      <c r="C20" s="123">
        <v>0</v>
      </c>
      <c r="D20" s="124">
        <v>0</v>
      </c>
      <c r="F20" s="158" t="s">
        <v>53</v>
      </c>
      <c r="G20" s="159">
        <f t="shared" si="0"/>
        <v>0</v>
      </c>
      <c r="H20" s="159">
        <f t="shared" si="1"/>
        <v>0</v>
      </c>
      <c r="I20" s="160">
        <f t="shared" si="2"/>
        <v>0</v>
      </c>
    </row>
    <row r="21" spans="1:9">
      <c r="A21" s="122" t="s">
        <v>54</v>
      </c>
      <c r="B21" s="123">
        <v>0</v>
      </c>
      <c r="C21" s="123">
        <v>0</v>
      </c>
      <c r="D21" s="124">
        <v>0</v>
      </c>
      <c r="F21" s="158" t="s">
        <v>54</v>
      </c>
      <c r="G21" s="159">
        <f t="shared" si="0"/>
        <v>0</v>
      </c>
      <c r="H21" s="159">
        <f t="shared" si="1"/>
        <v>0</v>
      </c>
      <c r="I21" s="160">
        <f t="shared" si="2"/>
        <v>0</v>
      </c>
    </row>
    <row r="22" spans="1:9">
      <c r="A22" s="122" t="s">
        <v>51</v>
      </c>
      <c r="B22" s="123">
        <v>755</v>
      </c>
      <c r="C22" s="123">
        <v>0</v>
      </c>
      <c r="D22" s="124">
        <v>0</v>
      </c>
      <c r="F22" s="158" t="s">
        <v>51</v>
      </c>
      <c r="G22" s="159">
        <f t="shared" si="0"/>
        <v>3.3735930329718451E-3</v>
      </c>
      <c r="H22" s="159">
        <f t="shared" si="1"/>
        <v>0</v>
      </c>
      <c r="I22" s="160">
        <f t="shared" si="2"/>
        <v>0</v>
      </c>
    </row>
    <row r="23" spans="1:9">
      <c r="A23" s="126" t="s">
        <v>46</v>
      </c>
      <c r="B23" s="116">
        <v>3525</v>
      </c>
      <c r="C23" s="116">
        <v>1094</v>
      </c>
      <c r="D23" s="127">
        <v>2721</v>
      </c>
      <c r="F23" s="163" t="s">
        <v>46</v>
      </c>
      <c r="G23" s="164">
        <f t="shared" si="0"/>
        <v>1.5750881379106959E-2</v>
      </c>
      <c r="H23" s="164">
        <f t="shared" si="1"/>
        <v>4.623368719994591E-3</v>
      </c>
      <c r="I23" s="165">
        <f t="shared" si="2"/>
        <v>2.0024432604280121E-2</v>
      </c>
    </row>
    <row r="24" spans="1:9">
      <c r="A24" s="126" t="s">
        <v>55</v>
      </c>
      <c r="B24" s="128">
        <v>48191</v>
      </c>
      <c r="C24" s="128">
        <v>61678</v>
      </c>
      <c r="D24" s="129">
        <v>7686</v>
      </c>
      <c r="F24" s="163" t="s">
        <v>55</v>
      </c>
      <c r="G24" s="166">
        <f t="shared" si="0"/>
        <v>0.21533353887674991</v>
      </c>
      <c r="H24" s="166">
        <f t="shared" si="1"/>
        <v>0.26065825951720872</v>
      </c>
      <c r="I24" s="167">
        <f t="shared" si="2"/>
        <v>5.6562950752112096E-2</v>
      </c>
    </row>
    <row r="25" spans="1:9" ht="15">
      <c r="A25" s="130" t="s">
        <v>56</v>
      </c>
      <c r="B25" s="117">
        <f>B24+B23+B18</f>
        <v>83929</v>
      </c>
      <c r="C25" s="117">
        <f>C24+C23+C18</f>
        <v>96864</v>
      </c>
      <c r="D25" s="131">
        <f>D24+D23+D18</f>
        <v>38190</v>
      </c>
      <c r="F25" s="168" t="s">
        <v>56</v>
      </c>
      <c r="G25" s="169">
        <f t="shared" si="0"/>
        <v>0.37502290021760792</v>
      </c>
      <c r="H25" s="169">
        <f t="shared" si="1"/>
        <v>0.4093583068496856</v>
      </c>
      <c r="I25" s="170">
        <f t="shared" si="2"/>
        <v>0.28104854140296137</v>
      </c>
    </row>
    <row r="26" spans="1:9" ht="15.75">
      <c r="A26" s="136" t="s">
        <v>32</v>
      </c>
      <c r="B26" s="118">
        <v>223797</v>
      </c>
      <c r="C26" s="118">
        <v>236624</v>
      </c>
      <c r="D26" s="133">
        <v>135884</v>
      </c>
      <c r="F26" s="171" t="s">
        <v>32</v>
      </c>
      <c r="G26" s="172">
        <f t="shared" si="0"/>
        <v>1</v>
      </c>
      <c r="H26" s="172">
        <f t="shared" si="1"/>
        <v>1</v>
      </c>
      <c r="I26" s="173">
        <f t="shared" si="2"/>
        <v>1</v>
      </c>
    </row>
  </sheetData>
  <pageMargins left="0.7" right="0.7" top="0.75" bottom="0.75" header="0.3" footer="0.3"/>
  <ignoredErrors>
    <ignoredError sqref="B9:D26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CB43-132A-47F4-8A83-B0FCBFE2D653}">
  <dimension ref="B1:AB92"/>
  <sheetViews>
    <sheetView rightToLeft="1" workbookViewId="0"/>
  </sheetViews>
  <sheetFormatPr defaultColWidth="8.625" defaultRowHeight="14.25"/>
  <cols>
    <col min="1" max="1" width="1.625" customWidth="1"/>
    <col min="2" max="2" width="31.625" customWidth="1"/>
    <col min="27" max="27" width="1.625" customWidth="1"/>
  </cols>
  <sheetData>
    <row r="1" spans="2:27" s="14" customFormat="1" ht="28.5">
      <c r="B1" s="72" t="s">
        <v>91</v>
      </c>
      <c r="C1" s="73">
        <f>2016</f>
        <v>2016</v>
      </c>
      <c r="D1" s="73">
        <f t="shared" ref="D1:O1" si="0">C1-1</f>
        <v>2015</v>
      </c>
      <c r="E1" s="73">
        <f t="shared" si="0"/>
        <v>2014</v>
      </c>
      <c r="F1" s="73">
        <f t="shared" si="0"/>
        <v>2013</v>
      </c>
      <c r="G1" s="73">
        <f t="shared" si="0"/>
        <v>2012</v>
      </c>
      <c r="H1" s="73">
        <f t="shared" si="0"/>
        <v>2011</v>
      </c>
      <c r="I1" s="73">
        <f t="shared" si="0"/>
        <v>2010</v>
      </c>
      <c r="J1" s="73">
        <f t="shared" si="0"/>
        <v>2009</v>
      </c>
      <c r="K1" s="73">
        <f t="shared" si="0"/>
        <v>2008</v>
      </c>
      <c r="L1" s="73">
        <f t="shared" si="0"/>
        <v>2007</v>
      </c>
      <c r="M1" s="73">
        <f t="shared" si="0"/>
        <v>2006</v>
      </c>
      <c r="N1" s="73">
        <f t="shared" si="0"/>
        <v>2005</v>
      </c>
      <c r="O1" s="73">
        <f t="shared" si="0"/>
        <v>2004</v>
      </c>
      <c r="P1" s="73">
        <f t="shared" ref="P1:Z1" si="1">O1-1</f>
        <v>2003</v>
      </c>
      <c r="Q1" s="73">
        <f t="shared" si="1"/>
        <v>2002</v>
      </c>
      <c r="R1" s="73">
        <f t="shared" si="1"/>
        <v>2001</v>
      </c>
      <c r="S1" s="73">
        <f t="shared" si="1"/>
        <v>2000</v>
      </c>
      <c r="T1" s="73">
        <f t="shared" si="1"/>
        <v>1999</v>
      </c>
      <c r="U1" s="73">
        <f t="shared" si="1"/>
        <v>1998</v>
      </c>
      <c r="V1" s="73">
        <f t="shared" si="1"/>
        <v>1997</v>
      </c>
      <c r="W1" s="73">
        <f t="shared" si="1"/>
        <v>1996</v>
      </c>
      <c r="X1" s="73">
        <f t="shared" si="1"/>
        <v>1995</v>
      </c>
      <c r="Y1" s="73">
        <f t="shared" si="1"/>
        <v>1994</v>
      </c>
      <c r="Z1" s="73">
        <f t="shared" si="1"/>
        <v>1993</v>
      </c>
      <c r="AA1" s="13"/>
    </row>
    <row r="2" spans="2:27" s="14" customFormat="1">
      <c r="B2" s="13"/>
      <c r="AA2" s="13"/>
    </row>
    <row r="3" spans="2:27" s="14" customFormat="1" ht="15.75">
      <c r="B3" s="74" t="s">
        <v>152</v>
      </c>
      <c r="AA3" s="74"/>
    </row>
    <row r="4" spans="2:27" s="14" customFormat="1">
      <c r="B4" s="13"/>
      <c r="C4" s="202">
        <f>(C5-D5)/D5</f>
        <v>-2.1507820136852396</v>
      </c>
      <c r="D4" s="202">
        <f>(D5-E5)/E5</f>
        <v>0.2209458451439654</v>
      </c>
      <c r="E4" s="202">
        <f>(E5-F5)/F5</f>
        <v>7.5750280853795537E-2</v>
      </c>
      <c r="F4" s="202">
        <f>(F5-G5)/G5</f>
        <v>78.884615384615387</v>
      </c>
      <c r="AA4" s="13"/>
    </row>
    <row r="5" spans="2:27" s="17" customFormat="1" ht="15">
      <c r="B5" s="17" t="s">
        <v>28</v>
      </c>
      <c r="C5" s="75">
        <v>-9418</v>
      </c>
      <c r="D5" s="75">
        <v>8184</v>
      </c>
      <c r="E5" s="75">
        <v>6703</v>
      </c>
      <c r="F5" s="75">
        <v>6231</v>
      </c>
      <c r="G5" s="75">
        <v>78</v>
      </c>
      <c r="H5" s="75">
        <v>-9588</v>
      </c>
      <c r="I5" s="75">
        <v>-10768</v>
      </c>
      <c r="J5" s="75">
        <v>-32119</v>
      </c>
      <c r="K5" s="75">
        <v>-27955</v>
      </c>
      <c r="L5" s="75">
        <v>-5217</v>
      </c>
      <c r="M5" s="75">
        <v>757</v>
      </c>
      <c r="N5" s="75">
        <v>-345</v>
      </c>
      <c r="O5" s="75">
        <v>4052</v>
      </c>
      <c r="P5" s="75">
        <v>2113</v>
      </c>
      <c r="Q5" s="75">
        <v>-1540</v>
      </c>
      <c r="R5" s="75">
        <v>3543</v>
      </c>
      <c r="S5" s="75">
        <v>5495</v>
      </c>
      <c r="T5" s="75">
        <v>6046</v>
      </c>
      <c r="U5" s="75">
        <v>2724</v>
      </c>
      <c r="V5" s="75">
        <v>7755</v>
      </c>
      <c r="W5" s="75">
        <v>8282</v>
      </c>
      <c r="X5" s="75">
        <v>9672</v>
      </c>
      <c r="Y5" s="75">
        <v>-10025</v>
      </c>
      <c r="Z5" s="75">
        <v>1958</v>
      </c>
    </row>
    <row r="6" spans="2:27" s="14" customFormat="1">
      <c r="B6" s="13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13"/>
    </row>
    <row r="7" spans="2:27" s="14" customFormat="1">
      <c r="B7" s="77" t="s">
        <v>153</v>
      </c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7"/>
    </row>
    <row r="8" spans="2:27">
      <c r="B8" t="s">
        <v>6</v>
      </c>
      <c r="C8" s="19">
        <v>11145</v>
      </c>
      <c r="D8" s="19">
        <v>7228</v>
      </c>
      <c r="E8" s="19">
        <v>4515</v>
      </c>
      <c r="F8" s="19">
        <v>4263</v>
      </c>
      <c r="G8" s="19">
        <v>4372</v>
      </c>
      <c r="H8" s="19">
        <v>4751</v>
      </c>
      <c r="I8" s="19">
        <v>4787</v>
      </c>
      <c r="J8" s="19">
        <v>5670</v>
      </c>
      <c r="K8" s="19">
        <v>8782</v>
      </c>
      <c r="L8" s="19">
        <v>7626</v>
      </c>
      <c r="M8" s="19">
        <v>4533</v>
      </c>
      <c r="N8" s="19">
        <v>4940</v>
      </c>
      <c r="O8" s="19">
        <v>4968</v>
      </c>
      <c r="P8" s="19">
        <v>3707</v>
      </c>
      <c r="Q8" s="19">
        <v>3723</v>
      </c>
      <c r="R8" s="19">
        <v>4711</v>
      </c>
      <c r="S8" s="19">
        <v>4455</v>
      </c>
      <c r="T8" s="19">
        <v>4272</v>
      </c>
      <c r="U8" s="19">
        <v>3910</v>
      </c>
      <c r="V8" s="19">
        <v>3384</v>
      </c>
      <c r="W8" s="19">
        <v>3198</v>
      </c>
      <c r="X8" s="19">
        <v>2141</v>
      </c>
      <c r="Y8" s="19">
        <v>2009</v>
      </c>
      <c r="Z8" s="19" t="s">
        <v>138</v>
      </c>
    </row>
    <row r="9" spans="2:27">
      <c r="B9" t="s">
        <v>92</v>
      </c>
      <c r="C9" s="19">
        <v>13319</v>
      </c>
      <c r="D9" s="19">
        <v>-5522</v>
      </c>
      <c r="E9" s="19">
        <v>150</v>
      </c>
      <c r="F9" s="19">
        <v>596</v>
      </c>
      <c r="G9" s="19">
        <v>7344</v>
      </c>
      <c r="H9" s="19">
        <v>7748</v>
      </c>
      <c r="I9" s="19">
        <v>10121</v>
      </c>
      <c r="J9" s="19">
        <v>18692</v>
      </c>
      <c r="K9" s="19">
        <v>11966</v>
      </c>
      <c r="L9" s="19">
        <v>3981</v>
      </c>
      <c r="M9" s="19">
        <v>928</v>
      </c>
      <c r="N9" s="19">
        <v>169</v>
      </c>
      <c r="O9" s="19">
        <v>-449</v>
      </c>
      <c r="P9" s="19">
        <v>436</v>
      </c>
      <c r="Q9" s="19">
        <v>129</v>
      </c>
      <c r="R9" s="19">
        <v>486</v>
      </c>
      <c r="S9" s="19">
        <v>1447</v>
      </c>
      <c r="T9" s="19">
        <v>690</v>
      </c>
      <c r="U9" s="19">
        <v>472</v>
      </c>
      <c r="V9" s="19">
        <v>1501</v>
      </c>
      <c r="W9" s="19">
        <v>2617</v>
      </c>
      <c r="X9" s="19">
        <v>2475</v>
      </c>
      <c r="Y9" s="19">
        <v>5092</v>
      </c>
      <c r="Z9" s="19" t="s">
        <v>138</v>
      </c>
    </row>
    <row r="10" spans="2:27">
      <c r="B10" s="18" t="s">
        <v>93</v>
      </c>
      <c r="C10" s="51">
        <f t="shared" ref="C10:O10" si="2">SUM(C8:C9)</f>
        <v>24464</v>
      </c>
      <c r="D10" s="51">
        <f t="shared" si="2"/>
        <v>1706</v>
      </c>
      <c r="E10" s="51">
        <f t="shared" si="2"/>
        <v>4665</v>
      </c>
      <c r="F10" s="51">
        <f t="shared" si="2"/>
        <v>4859</v>
      </c>
      <c r="G10" s="51">
        <f t="shared" si="2"/>
        <v>11716</v>
      </c>
      <c r="H10" s="51">
        <f t="shared" si="2"/>
        <v>12499</v>
      </c>
      <c r="I10" s="51">
        <f t="shared" si="2"/>
        <v>14908</v>
      </c>
      <c r="J10" s="51">
        <f t="shared" si="2"/>
        <v>24362</v>
      </c>
      <c r="K10" s="51">
        <f t="shared" si="2"/>
        <v>20748</v>
      </c>
      <c r="L10" s="51">
        <f t="shared" si="2"/>
        <v>11607</v>
      </c>
      <c r="M10" s="51">
        <f t="shared" si="2"/>
        <v>5461</v>
      </c>
      <c r="N10" s="51">
        <f t="shared" si="2"/>
        <v>5109</v>
      </c>
      <c r="O10" s="51">
        <f t="shared" si="2"/>
        <v>4519</v>
      </c>
      <c r="P10" s="51">
        <f t="shared" ref="P10:Z10" si="3">SUM(P8:P9)</f>
        <v>4143</v>
      </c>
      <c r="Q10" s="51">
        <f t="shared" si="3"/>
        <v>3852</v>
      </c>
      <c r="R10" s="51">
        <f t="shared" si="3"/>
        <v>5197</v>
      </c>
      <c r="S10" s="51">
        <f t="shared" si="3"/>
        <v>5902</v>
      </c>
      <c r="T10" s="51">
        <f t="shared" si="3"/>
        <v>4962</v>
      </c>
      <c r="U10" s="51">
        <f t="shared" si="3"/>
        <v>4382</v>
      </c>
      <c r="V10" s="51">
        <f t="shared" si="3"/>
        <v>4885</v>
      </c>
      <c r="W10" s="51">
        <f t="shared" si="3"/>
        <v>5815</v>
      </c>
      <c r="X10" s="51">
        <f t="shared" si="3"/>
        <v>4616</v>
      </c>
      <c r="Y10" s="51">
        <f t="shared" si="3"/>
        <v>7101</v>
      </c>
      <c r="Z10" s="51">
        <f t="shared" si="3"/>
        <v>0</v>
      </c>
      <c r="AA10" s="18"/>
    </row>
    <row r="11" spans="2:27"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2:27">
      <c r="B12" s="18" t="s">
        <v>154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8"/>
    </row>
    <row r="13" spans="2:27">
      <c r="B13" t="s">
        <v>94</v>
      </c>
      <c r="C13" s="19">
        <v>-7607</v>
      </c>
      <c r="D13" s="19">
        <v>-27627</v>
      </c>
      <c r="E13" s="19">
        <v>-8462</v>
      </c>
      <c r="F13" s="19">
        <v>-3439</v>
      </c>
      <c r="G13" s="19">
        <v>6844</v>
      </c>
      <c r="H13" s="19">
        <v>-15216</v>
      </c>
      <c r="I13" s="19">
        <v>7693</v>
      </c>
      <c r="J13" s="19">
        <v>35981</v>
      </c>
      <c r="K13" s="19">
        <v>5542</v>
      </c>
      <c r="L13" s="19">
        <v>7031</v>
      </c>
      <c r="M13" s="19">
        <v>8235</v>
      </c>
      <c r="N13" s="19">
        <v>-10738</v>
      </c>
      <c r="O13" s="19">
        <v>4864</v>
      </c>
      <c r="P13" s="19">
        <v>-10024</v>
      </c>
      <c r="Q13" s="19">
        <v>2328</v>
      </c>
      <c r="R13" s="19">
        <v>241</v>
      </c>
      <c r="S13" s="19">
        <v>5133</v>
      </c>
      <c r="T13" s="19">
        <v>-12932</v>
      </c>
      <c r="U13" s="19">
        <v>2189</v>
      </c>
      <c r="V13" s="19">
        <v>-3309</v>
      </c>
      <c r="W13" s="19">
        <v>-5208</v>
      </c>
      <c r="X13" s="19">
        <v>-4255</v>
      </c>
      <c r="Y13" s="19">
        <v>14118</v>
      </c>
      <c r="Z13" s="19" t="s">
        <v>138</v>
      </c>
    </row>
    <row r="14" spans="2:27">
      <c r="B14" t="s">
        <v>95</v>
      </c>
      <c r="C14" s="19">
        <v>7488</v>
      </c>
      <c r="D14" s="19">
        <v>4433</v>
      </c>
      <c r="E14" s="19">
        <v>-5572</v>
      </c>
      <c r="F14" s="19">
        <v>8845</v>
      </c>
      <c r="G14" s="19">
        <v>41</v>
      </c>
      <c r="H14" s="19">
        <v>4365</v>
      </c>
      <c r="I14" s="19">
        <v>6943</v>
      </c>
      <c r="J14" s="19">
        <v>19350</v>
      </c>
      <c r="K14" s="19">
        <v>4524</v>
      </c>
      <c r="L14" s="19">
        <v>-10516</v>
      </c>
      <c r="M14" s="19">
        <v>-8404</v>
      </c>
      <c r="N14" s="19">
        <v>-1112</v>
      </c>
      <c r="O14" s="19">
        <v>-3018</v>
      </c>
      <c r="P14" s="19">
        <v>5231</v>
      </c>
      <c r="Q14" s="19">
        <v>2383</v>
      </c>
      <c r="R14" s="19">
        <v>1332</v>
      </c>
      <c r="S14" s="19">
        <v>-9941</v>
      </c>
      <c r="T14" s="19">
        <v>-1137</v>
      </c>
      <c r="U14" s="19">
        <v>-5228</v>
      </c>
      <c r="V14" s="19">
        <v>-837</v>
      </c>
      <c r="W14" s="19">
        <v>5210</v>
      </c>
      <c r="X14" s="19">
        <v>-8218</v>
      </c>
      <c r="Y14" s="19">
        <v>7669</v>
      </c>
      <c r="Z14" s="19" t="s">
        <v>138</v>
      </c>
    </row>
    <row r="15" spans="2:27">
      <c r="B15" t="s">
        <v>96</v>
      </c>
      <c r="C15" s="19">
        <v>12439</v>
      </c>
      <c r="D15" s="19">
        <v>-9340</v>
      </c>
      <c r="E15" s="19">
        <v>14696</v>
      </c>
      <c r="F15" s="19">
        <v>-2852</v>
      </c>
      <c r="G15" s="19">
        <v>1973</v>
      </c>
      <c r="H15" s="19">
        <v>11243</v>
      </c>
      <c r="I15" s="19">
        <v>-8270</v>
      </c>
      <c r="J15" s="19">
        <v>-22922</v>
      </c>
      <c r="K15" s="19">
        <v>-426</v>
      </c>
      <c r="L15" s="19">
        <v>-9343</v>
      </c>
      <c r="M15" s="19">
        <v>10963</v>
      </c>
      <c r="N15" s="19">
        <v>-3448</v>
      </c>
      <c r="O15" s="19">
        <v>-868</v>
      </c>
      <c r="P15" s="19">
        <v>-226</v>
      </c>
      <c r="Q15" s="19">
        <v>-3018</v>
      </c>
      <c r="R15" s="19">
        <v>2743</v>
      </c>
      <c r="S15" s="19">
        <v>-3967</v>
      </c>
      <c r="T15" s="19">
        <v>2777</v>
      </c>
      <c r="U15" s="19">
        <v>825</v>
      </c>
      <c r="V15" s="19">
        <v>-5234</v>
      </c>
      <c r="W15" s="19">
        <v>-4478</v>
      </c>
      <c r="X15" s="19">
        <v>11283</v>
      </c>
      <c r="Y15" s="19">
        <v>-5188</v>
      </c>
      <c r="Z15" s="19" t="s">
        <v>138</v>
      </c>
    </row>
    <row r="16" spans="2:27">
      <c r="B16" t="s">
        <v>97</v>
      </c>
      <c r="C16" s="19">
        <v>-1222</v>
      </c>
      <c r="D16" s="19">
        <v>-346</v>
      </c>
      <c r="E16" s="19">
        <v>1284</v>
      </c>
      <c r="F16" s="19">
        <v>183</v>
      </c>
      <c r="G16" s="19">
        <v>-564</v>
      </c>
      <c r="H16" s="19">
        <v>1319</v>
      </c>
      <c r="I16" s="19">
        <v>-3492</v>
      </c>
      <c r="J16" s="19">
        <v>-4019</v>
      </c>
      <c r="K16" s="19">
        <v>-8914</v>
      </c>
      <c r="L16" s="19">
        <v>7055</v>
      </c>
      <c r="M16" s="19">
        <v>-1186</v>
      </c>
      <c r="N16" s="19">
        <v>972</v>
      </c>
      <c r="O16" s="19">
        <v>1272</v>
      </c>
      <c r="P16" s="19">
        <v>-335</v>
      </c>
      <c r="Q16" s="19">
        <v>179</v>
      </c>
      <c r="R16" s="19">
        <v>5</v>
      </c>
      <c r="S16" s="19">
        <v>-416</v>
      </c>
      <c r="T16" s="19">
        <v>1107</v>
      </c>
      <c r="U16" s="19">
        <v>-1656</v>
      </c>
      <c r="V16" s="19">
        <v>1310</v>
      </c>
      <c r="W16" s="19">
        <v>1091</v>
      </c>
      <c r="X16" s="19">
        <v>1007</v>
      </c>
      <c r="Y16" s="19">
        <v>117</v>
      </c>
      <c r="Z16" s="19" t="s">
        <v>138</v>
      </c>
    </row>
    <row r="17" spans="2:28">
      <c r="B17" s="18" t="s">
        <v>98</v>
      </c>
      <c r="C17" s="51">
        <f t="shared" ref="C17:O17" si="4">SUM(C13:C16)</f>
        <v>11098</v>
      </c>
      <c r="D17" s="51">
        <f t="shared" si="4"/>
        <v>-32880</v>
      </c>
      <c r="E17" s="51">
        <f t="shared" si="4"/>
        <v>1946</v>
      </c>
      <c r="F17" s="51">
        <f t="shared" si="4"/>
        <v>2737</v>
      </c>
      <c r="G17" s="51">
        <f t="shared" si="4"/>
        <v>8294</v>
      </c>
      <c r="H17" s="51">
        <f t="shared" si="4"/>
        <v>1711</v>
      </c>
      <c r="I17" s="51">
        <f t="shared" si="4"/>
        <v>2874</v>
      </c>
      <c r="J17" s="51">
        <f t="shared" si="4"/>
        <v>28390</v>
      </c>
      <c r="K17" s="51">
        <f t="shared" si="4"/>
        <v>726</v>
      </c>
      <c r="L17" s="51">
        <f t="shared" si="4"/>
        <v>-5773</v>
      </c>
      <c r="M17" s="51">
        <f t="shared" si="4"/>
        <v>9608</v>
      </c>
      <c r="N17" s="51">
        <f t="shared" si="4"/>
        <v>-14326</v>
      </c>
      <c r="O17" s="51">
        <f t="shared" si="4"/>
        <v>2250</v>
      </c>
      <c r="P17" s="51">
        <f t="shared" ref="P17:Z17" si="5">SUM(P13:P16)</f>
        <v>-5354</v>
      </c>
      <c r="Q17" s="51">
        <f t="shared" si="5"/>
        <v>1872</v>
      </c>
      <c r="R17" s="51">
        <f t="shared" si="5"/>
        <v>4321</v>
      </c>
      <c r="S17" s="51">
        <f t="shared" si="5"/>
        <v>-9191</v>
      </c>
      <c r="T17" s="51">
        <f t="shared" si="5"/>
        <v>-10185</v>
      </c>
      <c r="U17" s="51">
        <f t="shared" si="5"/>
        <v>-3870</v>
      </c>
      <c r="V17" s="51">
        <f t="shared" si="5"/>
        <v>-8070</v>
      </c>
      <c r="W17" s="51">
        <f t="shared" si="5"/>
        <v>-3385</v>
      </c>
      <c r="X17" s="51">
        <f t="shared" si="5"/>
        <v>-183</v>
      </c>
      <c r="Y17" s="51">
        <f t="shared" si="5"/>
        <v>16716</v>
      </c>
      <c r="Z17" s="51">
        <f t="shared" si="5"/>
        <v>0</v>
      </c>
      <c r="AA17" s="18"/>
      <c r="AB17" s="203">
        <f>(SUM(C17:Y17))/23</f>
        <v>-29.304347826086957</v>
      </c>
    </row>
    <row r="18" spans="2:28"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2:28" s="18" customFormat="1">
      <c r="B19" s="18" t="s">
        <v>99</v>
      </c>
      <c r="C19" s="20">
        <v>0</v>
      </c>
      <c r="D19" s="20">
        <v>0</v>
      </c>
      <c r="E19" s="20">
        <v>0</v>
      </c>
      <c r="F19" s="20">
        <v>-159</v>
      </c>
      <c r="G19" s="20">
        <v>137</v>
      </c>
      <c r="H19" s="20">
        <v>-81</v>
      </c>
      <c r="I19" s="20">
        <v>-66</v>
      </c>
      <c r="J19" s="20">
        <v>4749</v>
      </c>
      <c r="K19" s="20">
        <v>-269</v>
      </c>
      <c r="L19" s="20">
        <v>513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-97</v>
      </c>
    </row>
    <row r="20" spans="2:28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2:28" ht="15">
      <c r="B21" s="17" t="s">
        <v>100</v>
      </c>
      <c r="C21" s="51">
        <f t="shared" ref="C21:O21" si="6">C10+C17+C19</f>
        <v>35562</v>
      </c>
      <c r="D21" s="51">
        <f t="shared" si="6"/>
        <v>-31174</v>
      </c>
      <c r="E21" s="51">
        <f t="shared" si="6"/>
        <v>6611</v>
      </c>
      <c r="F21" s="51">
        <f t="shared" si="6"/>
        <v>7437</v>
      </c>
      <c r="G21" s="51">
        <f t="shared" si="6"/>
        <v>20147</v>
      </c>
      <c r="H21" s="51">
        <f t="shared" si="6"/>
        <v>14129</v>
      </c>
      <c r="I21" s="51">
        <f t="shared" si="6"/>
        <v>17716</v>
      </c>
      <c r="J21" s="51">
        <f t="shared" si="6"/>
        <v>57501</v>
      </c>
      <c r="K21" s="51">
        <f t="shared" si="6"/>
        <v>21205</v>
      </c>
      <c r="L21" s="51">
        <f t="shared" si="6"/>
        <v>6347</v>
      </c>
      <c r="M21" s="51">
        <f t="shared" si="6"/>
        <v>15069</v>
      </c>
      <c r="N21" s="51">
        <f t="shared" si="6"/>
        <v>-9217</v>
      </c>
      <c r="O21" s="51">
        <f t="shared" si="6"/>
        <v>6769</v>
      </c>
      <c r="P21" s="51">
        <f t="shared" ref="P21:Z21" si="7">P10+P17+P19</f>
        <v>-1211</v>
      </c>
      <c r="Q21" s="51">
        <f t="shared" si="7"/>
        <v>5724</v>
      </c>
      <c r="R21" s="51">
        <f t="shared" si="7"/>
        <v>9518</v>
      </c>
      <c r="S21" s="51">
        <f t="shared" si="7"/>
        <v>-3289</v>
      </c>
      <c r="T21" s="51">
        <f t="shared" si="7"/>
        <v>-5223</v>
      </c>
      <c r="U21" s="51">
        <f t="shared" si="7"/>
        <v>512</v>
      </c>
      <c r="V21" s="51">
        <f t="shared" si="7"/>
        <v>-3185</v>
      </c>
      <c r="W21" s="51">
        <f t="shared" si="7"/>
        <v>2430</v>
      </c>
      <c r="X21" s="51">
        <f t="shared" si="7"/>
        <v>4433</v>
      </c>
      <c r="Y21" s="51">
        <f t="shared" si="7"/>
        <v>23817</v>
      </c>
      <c r="Z21" s="51">
        <f t="shared" si="7"/>
        <v>-97</v>
      </c>
      <c r="AA21" s="17"/>
    </row>
    <row r="22" spans="2:28"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2:28" ht="15">
      <c r="B23" s="78" t="s">
        <v>101</v>
      </c>
      <c r="C23" s="53">
        <f t="shared" ref="C23:O23" si="8">C21+C5</f>
        <v>26144</v>
      </c>
      <c r="D23" s="53">
        <f t="shared" si="8"/>
        <v>-22990</v>
      </c>
      <c r="E23" s="53">
        <f t="shared" si="8"/>
        <v>13314</v>
      </c>
      <c r="F23" s="53">
        <f t="shared" si="8"/>
        <v>13668</v>
      </c>
      <c r="G23" s="53">
        <f t="shared" si="8"/>
        <v>20225</v>
      </c>
      <c r="H23" s="53">
        <f t="shared" si="8"/>
        <v>4541</v>
      </c>
      <c r="I23" s="53">
        <f t="shared" si="8"/>
        <v>6948</v>
      </c>
      <c r="J23" s="53">
        <f t="shared" si="8"/>
        <v>25382</v>
      </c>
      <c r="K23" s="53">
        <f t="shared" si="8"/>
        <v>-6750</v>
      </c>
      <c r="L23" s="53">
        <f t="shared" si="8"/>
        <v>1130</v>
      </c>
      <c r="M23" s="53">
        <f t="shared" si="8"/>
        <v>15826</v>
      </c>
      <c r="N23" s="53">
        <f t="shared" si="8"/>
        <v>-9562</v>
      </c>
      <c r="O23" s="53">
        <f t="shared" si="8"/>
        <v>10821</v>
      </c>
      <c r="P23" s="53">
        <f t="shared" ref="P23:Z23" si="9">P21+P5</f>
        <v>902</v>
      </c>
      <c r="Q23" s="53">
        <f t="shared" si="9"/>
        <v>4184</v>
      </c>
      <c r="R23" s="53">
        <f t="shared" si="9"/>
        <v>13061</v>
      </c>
      <c r="S23" s="53">
        <f t="shared" si="9"/>
        <v>2206</v>
      </c>
      <c r="T23" s="53">
        <f t="shared" si="9"/>
        <v>823</v>
      </c>
      <c r="U23" s="53">
        <f t="shared" si="9"/>
        <v>3236</v>
      </c>
      <c r="V23" s="53">
        <f t="shared" si="9"/>
        <v>4570</v>
      </c>
      <c r="W23" s="53">
        <f t="shared" si="9"/>
        <v>10712</v>
      </c>
      <c r="X23" s="53">
        <f t="shared" si="9"/>
        <v>14105</v>
      </c>
      <c r="Y23" s="53">
        <f t="shared" si="9"/>
        <v>13792</v>
      </c>
      <c r="Z23" s="53">
        <f t="shared" si="9"/>
        <v>1861</v>
      </c>
      <c r="AA23" s="78"/>
      <c r="AB23" s="204"/>
    </row>
    <row r="24" spans="2:28" ht="15">
      <c r="B24" t="s">
        <v>102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-6244</v>
      </c>
      <c r="O24" s="19">
        <v>0</v>
      </c>
      <c r="P24" s="19">
        <v>0</v>
      </c>
      <c r="Q24" s="19">
        <v>0</v>
      </c>
      <c r="R24" s="19">
        <v>0</v>
      </c>
      <c r="S24" s="19">
        <v>-40</v>
      </c>
      <c r="T24" s="19">
        <v>-6174</v>
      </c>
      <c r="U24" s="19">
        <v>-30794</v>
      </c>
      <c r="V24" s="19">
        <v>0</v>
      </c>
      <c r="W24" s="19">
        <v>0</v>
      </c>
      <c r="X24" s="19">
        <v>0</v>
      </c>
      <c r="Y24" s="19">
        <v>0</v>
      </c>
      <c r="Z24" s="19" t="s">
        <v>138</v>
      </c>
      <c r="AB24" s="204"/>
    </row>
    <row r="25" spans="2:28" ht="15">
      <c r="B25" t="s">
        <v>103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6309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21439</v>
      </c>
      <c r="U25" s="19">
        <v>15327</v>
      </c>
      <c r="V25" s="19">
        <v>0</v>
      </c>
      <c r="W25" s="19">
        <v>0</v>
      </c>
      <c r="X25" s="19">
        <v>0</v>
      </c>
      <c r="Y25" s="19">
        <v>0</v>
      </c>
      <c r="Z25" s="19" t="s">
        <v>138</v>
      </c>
      <c r="AB25" s="204"/>
    </row>
    <row r="26" spans="2:28" ht="15">
      <c r="B26" s="18" t="s">
        <v>104</v>
      </c>
      <c r="C26" s="51">
        <f t="shared" ref="C26:O26" si="10">SUM(C24:C25)</f>
        <v>0</v>
      </c>
      <c r="D26" s="51">
        <f t="shared" si="10"/>
        <v>0</v>
      </c>
      <c r="E26" s="51">
        <f t="shared" si="10"/>
        <v>0</v>
      </c>
      <c r="F26" s="51">
        <f t="shared" si="10"/>
        <v>0</v>
      </c>
      <c r="G26" s="51">
        <f t="shared" si="10"/>
        <v>0</v>
      </c>
      <c r="H26" s="51">
        <f t="shared" si="10"/>
        <v>0</v>
      </c>
      <c r="I26" s="51">
        <f t="shared" si="10"/>
        <v>0</v>
      </c>
      <c r="J26" s="51">
        <f t="shared" si="10"/>
        <v>0</v>
      </c>
      <c r="K26" s="51">
        <f t="shared" si="10"/>
        <v>0</v>
      </c>
      <c r="L26" s="51">
        <f t="shared" si="10"/>
        <v>0</v>
      </c>
      <c r="M26" s="51">
        <f t="shared" si="10"/>
        <v>6309</v>
      </c>
      <c r="N26" s="51">
        <f t="shared" si="10"/>
        <v>-6244</v>
      </c>
      <c r="O26" s="51">
        <f t="shared" si="10"/>
        <v>0</v>
      </c>
      <c r="P26" s="51">
        <f t="shared" ref="P26:Z26" si="11">SUM(P24:P25)</f>
        <v>0</v>
      </c>
      <c r="Q26" s="51">
        <f t="shared" si="11"/>
        <v>0</v>
      </c>
      <c r="R26" s="51">
        <f t="shared" si="11"/>
        <v>0</v>
      </c>
      <c r="S26" s="51">
        <f t="shared" si="11"/>
        <v>-40</v>
      </c>
      <c r="T26" s="51">
        <f t="shared" si="11"/>
        <v>15265</v>
      </c>
      <c r="U26" s="51">
        <f t="shared" si="11"/>
        <v>-15467</v>
      </c>
      <c r="V26" s="51">
        <f t="shared" si="11"/>
        <v>0</v>
      </c>
      <c r="W26" s="51">
        <f t="shared" si="11"/>
        <v>0</v>
      </c>
      <c r="X26" s="51">
        <f t="shared" si="11"/>
        <v>0</v>
      </c>
      <c r="Y26" s="51">
        <f t="shared" si="11"/>
        <v>0</v>
      </c>
      <c r="Z26" s="51">
        <f t="shared" si="11"/>
        <v>0</v>
      </c>
      <c r="AA26" s="18"/>
      <c r="AB26" s="204"/>
    </row>
    <row r="27" spans="2:28" ht="15">
      <c r="B27" t="s">
        <v>105</v>
      </c>
      <c r="C27" s="19">
        <v>-283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 t="s">
        <v>138</v>
      </c>
      <c r="AB27" s="204"/>
    </row>
    <row r="28" spans="2:28" ht="15">
      <c r="B28" t="s">
        <v>106</v>
      </c>
      <c r="C28" s="19">
        <v>0</v>
      </c>
      <c r="D28" s="19">
        <v>112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 t="s">
        <v>138</v>
      </c>
      <c r="AB28" s="204"/>
    </row>
    <row r="29" spans="2:28" ht="15">
      <c r="B29" s="18" t="s">
        <v>107</v>
      </c>
      <c r="C29" s="51">
        <f t="shared" ref="C29:O29" si="12">SUM(C27:C28)</f>
        <v>-283</v>
      </c>
      <c r="D29" s="51">
        <f t="shared" si="12"/>
        <v>112</v>
      </c>
      <c r="E29" s="51">
        <f t="shared" si="12"/>
        <v>0</v>
      </c>
      <c r="F29" s="51">
        <f t="shared" si="12"/>
        <v>0</v>
      </c>
      <c r="G29" s="51">
        <f t="shared" si="12"/>
        <v>0</v>
      </c>
      <c r="H29" s="51">
        <f t="shared" si="12"/>
        <v>0</v>
      </c>
      <c r="I29" s="51">
        <f t="shared" si="12"/>
        <v>0</v>
      </c>
      <c r="J29" s="51">
        <f t="shared" si="12"/>
        <v>0</v>
      </c>
      <c r="K29" s="51">
        <f t="shared" si="12"/>
        <v>0</v>
      </c>
      <c r="L29" s="51">
        <f t="shared" si="12"/>
        <v>0</v>
      </c>
      <c r="M29" s="51">
        <f t="shared" si="12"/>
        <v>0</v>
      </c>
      <c r="N29" s="51">
        <f t="shared" si="12"/>
        <v>0</v>
      </c>
      <c r="O29" s="51">
        <f t="shared" si="12"/>
        <v>0</v>
      </c>
      <c r="P29" s="51">
        <f t="shared" ref="P29:Z29" si="13">SUM(P27:P28)</f>
        <v>0</v>
      </c>
      <c r="Q29" s="51">
        <f t="shared" si="13"/>
        <v>0</v>
      </c>
      <c r="R29" s="51">
        <f t="shared" si="13"/>
        <v>0</v>
      </c>
      <c r="S29" s="51">
        <f t="shared" si="13"/>
        <v>0</v>
      </c>
      <c r="T29" s="51">
        <f t="shared" si="13"/>
        <v>0</v>
      </c>
      <c r="U29" s="51">
        <f t="shared" si="13"/>
        <v>0</v>
      </c>
      <c r="V29" s="51">
        <f t="shared" si="13"/>
        <v>0</v>
      </c>
      <c r="W29" s="51">
        <f t="shared" si="13"/>
        <v>0</v>
      </c>
      <c r="X29" s="51">
        <f t="shared" si="13"/>
        <v>0</v>
      </c>
      <c r="Y29" s="51">
        <f t="shared" si="13"/>
        <v>0</v>
      </c>
      <c r="Z29" s="51">
        <f t="shared" si="13"/>
        <v>0</v>
      </c>
      <c r="AA29" s="18"/>
      <c r="AB29" s="204"/>
    </row>
    <row r="30" spans="2:28" ht="15"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B30" s="204"/>
    </row>
    <row r="31" spans="2:28" ht="15">
      <c r="B31" s="18" t="s">
        <v>155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8"/>
      <c r="AB31" s="204"/>
    </row>
    <row r="32" spans="2:28" ht="15">
      <c r="B32" t="s">
        <v>108</v>
      </c>
      <c r="C32" s="19">
        <v>-286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-11</v>
      </c>
      <c r="L32" s="19">
        <v>-47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-159</v>
      </c>
      <c r="T32" s="19">
        <v>0</v>
      </c>
      <c r="U32" s="19">
        <v>-913</v>
      </c>
      <c r="V32" s="19">
        <v>0</v>
      </c>
      <c r="W32" s="19">
        <v>-204</v>
      </c>
      <c r="X32" s="19">
        <v>-119</v>
      </c>
      <c r="Y32" s="19">
        <v>-214</v>
      </c>
      <c r="Z32" s="19" t="s">
        <v>138</v>
      </c>
      <c r="AB32" s="204"/>
    </row>
    <row r="33" spans="2:28" ht="15">
      <c r="B33" t="s">
        <v>109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25</v>
      </c>
      <c r="P33" s="19">
        <v>24</v>
      </c>
      <c r="Q33" s="19">
        <v>49</v>
      </c>
      <c r="R33" s="19">
        <v>53</v>
      </c>
      <c r="S33" s="19">
        <v>1056</v>
      </c>
      <c r="T33" s="19">
        <v>0</v>
      </c>
      <c r="U33" s="19">
        <v>0</v>
      </c>
      <c r="V33" s="19">
        <v>0</v>
      </c>
      <c r="W33" s="19">
        <v>0</v>
      </c>
      <c r="X33" s="19">
        <v>835</v>
      </c>
      <c r="Y33" s="19">
        <v>0</v>
      </c>
      <c r="Z33" s="19" t="s">
        <v>138</v>
      </c>
      <c r="AB33" s="204"/>
    </row>
    <row r="34" spans="2:28" ht="15">
      <c r="B34" s="18" t="s">
        <v>110</v>
      </c>
      <c r="C34" s="51">
        <f t="shared" ref="C34:O34" si="14">SUM(C32:C33)</f>
        <v>-286</v>
      </c>
      <c r="D34" s="51">
        <f t="shared" si="14"/>
        <v>0</v>
      </c>
      <c r="E34" s="51">
        <f t="shared" si="14"/>
        <v>0</v>
      </c>
      <c r="F34" s="51">
        <f t="shared" si="14"/>
        <v>0</v>
      </c>
      <c r="G34" s="51">
        <f t="shared" si="14"/>
        <v>0</v>
      </c>
      <c r="H34" s="51">
        <f t="shared" si="14"/>
        <v>0</v>
      </c>
      <c r="I34" s="51">
        <f t="shared" si="14"/>
        <v>0</v>
      </c>
      <c r="J34" s="51">
        <f t="shared" si="14"/>
        <v>0</v>
      </c>
      <c r="K34" s="51">
        <f t="shared" si="14"/>
        <v>-11</v>
      </c>
      <c r="L34" s="51">
        <f t="shared" si="14"/>
        <v>-47</v>
      </c>
      <c r="M34" s="51">
        <f t="shared" si="14"/>
        <v>0</v>
      </c>
      <c r="N34" s="51">
        <f t="shared" si="14"/>
        <v>0</v>
      </c>
      <c r="O34" s="51">
        <f t="shared" si="14"/>
        <v>25</v>
      </c>
      <c r="P34" s="51">
        <f t="shared" ref="P34:Z34" si="15">SUM(P32:P33)</f>
        <v>24</v>
      </c>
      <c r="Q34" s="51">
        <f t="shared" si="15"/>
        <v>49</v>
      </c>
      <c r="R34" s="51">
        <f t="shared" si="15"/>
        <v>53</v>
      </c>
      <c r="S34" s="51">
        <f t="shared" si="15"/>
        <v>897</v>
      </c>
      <c r="T34" s="51">
        <f t="shared" si="15"/>
        <v>0</v>
      </c>
      <c r="U34" s="51">
        <f t="shared" si="15"/>
        <v>-913</v>
      </c>
      <c r="V34" s="51">
        <f t="shared" si="15"/>
        <v>0</v>
      </c>
      <c r="W34" s="51">
        <f t="shared" si="15"/>
        <v>-204</v>
      </c>
      <c r="X34" s="51">
        <f t="shared" si="15"/>
        <v>716</v>
      </c>
      <c r="Y34" s="51">
        <f t="shared" si="15"/>
        <v>-214</v>
      </c>
      <c r="Z34" s="51">
        <f t="shared" si="15"/>
        <v>0</v>
      </c>
      <c r="AA34" s="18"/>
      <c r="AB34" s="204"/>
    </row>
    <row r="35" spans="2:28" ht="15"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B35" s="204"/>
    </row>
    <row r="36" spans="2:28" ht="15">
      <c r="B36" s="17" t="s">
        <v>111</v>
      </c>
      <c r="C36" s="53">
        <f t="shared" ref="C36:O36" si="16">C34+C29+C26</f>
        <v>-569</v>
      </c>
      <c r="D36" s="53">
        <f t="shared" si="16"/>
        <v>112</v>
      </c>
      <c r="E36" s="53">
        <f t="shared" si="16"/>
        <v>0</v>
      </c>
      <c r="F36" s="53">
        <f t="shared" si="16"/>
        <v>0</v>
      </c>
      <c r="G36" s="53">
        <f t="shared" si="16"/>
        <v>0</v>
      </c>
      <c r="H36" s="53">
        <f t="shared" si="16"/>
        <v>0</v>
      </c>
      <c r="I36" s="53">
        <f t="shared" si="16"/>
        <v>0</v>
      </c>
      <c r="J36" s="53">
        <f t="shared" si="16"/>
        <v>0</v>
      </c>
      <c r="K36" s="53">
        <f t="shared" si="16"/>
        <v>-11</v>
      </c>
      <c r="L36" s="53">
        <f t="shared" si="16"/>
        <v>-47</v>
      </c>
      <c r="M36" s="53">
        <f t="shared" si="16"/>
        <v>6309</v>
      </c>
      <c r="N36" s="53">
        <f t="shared" si="16"/>
        <v>-6244</v>
      </c>
      <c r="O36" s="53">
        <f t="shared" si="16"/>
        <v>25</v>
      </c>
      <c r="P36" s="53">
        <f t="shared" ref="P36:Z36" si="17">P34+P29+P26</f>
        <v>24</v>
      </c>
      <c r="Q36" s="53">
        <f t="shared" si="17"/>
        <v>49</v>
      </c>
      <c r="R36" s="53">
        <f t="shared" si="17"/>
        <v>53</v>
      </c>
      <c r="S36" s="53">
        <f t="shared" si="17"/>
        <v>857</v>
      </c>
      <c r="T36" s="53">
        <f t="shared" si="17"/>
        <v>15265</v>
      </c>
      <c r="U36" s="53">
        <f t="shared" si="17"/>
        <v>-16380</v>
      </c>
      <c r="V36" s="53">
        <f t="shared" si="17"/>
        <v>0</v>
      </c>
      <c r="W36" s="53">
        <f t="shared" si="17"/>
        <v>-204</v>
      </c>
      <c r="X36" s="53">
        <f t="shared" si="17"/>
        <v>716</v>
      </c>
      <c r="Y36" s="53">
        <f t="shared" si="17"/>
        <v>-214</v>
      </c>
      <c r="Z36" s="53">
        <f t="shared" si="17"/>
        <v>0</v>
      </c>
      <c r="AA36" s="17"/>
      <c r="AB36" s="204"/>
    </row>
    <row r="37" spans="2:28" ht="15"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B37" s="204"/>
    </row>
    <row r="38" spans="2:28" ht="15.75">
      <c r="B38" s="79" t="s">
        <v>156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79"/>
      <c r="AB38" s="204"/>
    </row>
    <row r="39" spans="2:28" ht="15">
      <c r="B39" s="18" t="s">
        <v>47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8"/>
      <c r="AB39" s="204"/>
    </row>
    <row r="40" spans="2:28" ht="15">
      <c r="B40" t="s">
        <v>112</v>
      </c>
      <c r="C40" s="19">
        <v>-5501</v>
      </c>
      <c r="D40" s="19">
        <v>-5377</v>
      </c>
      <c r="E40" s="19">
        <v>-6425</v>
      </c>
      <c r="F40" s="19">
        <v>-2379</v>
      </c>
      <c r="G40" s="19">
        <v>-1154</v>
      </c>
      <c r="H40" s="19">
        <v>-852</v>
      </c>
      <c r="I40" s="19">
        <v>-1374</v>
      </c>
      <c r="J40" s="19">
        <v>-5125</v>
      </c>
      <c r="K40" s="19">
        <v>-8078</v>
      </c>
      <c r="L40" s="19">
        <v>-6787</v>
      </c>
      <c r="M40" s="19">
        <v>-4570</v>
      </c>
      <c r="N40" s="19">
        <v>-1214</v>
      </c>
      <c r="O40" s="19">
        <v>-1657</v>
      </c>
      <c r="P40" s="19">
        <v>-567</v>
      </c>
      <c r="Q40" s="19">
        <v>-507</v>
      </c>
      <c r="R40" s="19">
        <v>-6237</v>
      </c>
      <c r="S40" s="19">
        <v>-18022</v>
      </c>
      <c r="T40" s="19">
        <v>-1837</v>
      </c>
      <c r="U40" s="19">
        <v>-6087</v>
      </c>
      <c r="V40" s="19">
        <v>-2195</v>
      </c>
      <c r="W40" s="19">
        <v>-2690</v>
      </c>
      <c r="X40" s="19">
        <v>-15011</v>
      </c>
      <c r="Y40" s="19">
        <v>-2327</v>
      </c>
      <c r="Z40" s="19" t="s">
        <v>138</v>
      </c>
      <c r="AB40" s="204"/>
    </row>
    <row r="41" spans="2:28" ht="15">
      <c r="B41" t="s">
        <v>113</v>
      </c>
      <c r="C41" s="19">
        <v>447</v>
      </c>
      <c r="D41" s="19">
        <v>10</v>
      </c>
      <c r="E41" s="19">
        <v>7</v>
      </c>
      <c r="F41" s="19">
        <v>195</v>
      </c>
      <c r="G41" s="19">
        <v>172</v>
      </c>
      <c r="H41" s="19">
        <v>216</v>
      </c>
      <c r="I41" s="19">
        <v>217</v>
      </c>
      <c r="J41" s="19">
        <v>4194</v>
      </c>
      <c r="K41" s="19">
        <v>2089</v>
      </c>
      <c r="L41" s="19">
        <v>610</v>
      </c>
      <c r="M41" s="19">
        <v>409</v>
      </c>
      <c r="N41" s="19">
        <v>353</v>
      </c>
      <c r="O41" s="19">
        <v>370</v>
      </c>
      <c r="P41" s="19">
        <v>164</v>
      </c>
      <c r="Q41" s="19">
        <v>79</v>
      </c>
      <c r="R41" s="19">
        <v>411</v>
      </c>
      <c r="S41" s="19">
        <v>498</v>
      </c>
      <c r="T41" s="19">
        <v>310</v>
      </c>
      <c r="U41" s="19">
        <v>286</v>
      </c>
      <c r="V41" s="19">
        <v>368</v>
      </c>
      <c r="W41" s="19">
        <v>5</v>
      </c>
      <c r="X41" s="19">
        <v>524</v>
      </c>
      <c r="Y41" s="19">
        <v>112</v>
      </c>
      <c r="Z41" s="19" t="s">
        <v>138</v>
      </c>
      <c r="AB41" s="204"/>
    </row>
    <row r="42" spans="2:28" ht="15">
      <c r="B42" s="18" t="s">
        <v>114</v>
      </c>
      <c r="C42" s="51">
        <f t="shared" ref="C42:O42" si="18">SUM(C40:C41)</f>
        <v>-5054</v>
      </c>
      <c r="D42" s="51">
        <f t="shared" si="18"/>
        <v>-5367</v>
      </c>
      <c r="E42" s="51">
        <f t="shared" si="18"/>
        <v>-6418</v>
      </c>
      <c r="F42" s="51">
        <f t="shared" si="18"/>
        <v>-2184</v>
      </c>
      <c r="G42" s="51">
        <f t="shared" si="18"/>
        <v>-982</v>
      </c>
      <c r="H42" s="51">
        <f t="shared" si="18"/>
        <v>-636</v>
      </c>
      <c r="I42" s="51">
        <f t="shared" si="18"/>
        <v>-1157</v>
      </c>
      <c r="J42" s="51">
        <f t="shared" si="18"/>
        <v>-931</v>
      </c>
      <c r="K42" s="51">
        <f t="shared" si="18"/>
        <v>-5989</v>
      </c>
      <c r="L42" s="51">
        <f t="shared" si="18"/>
        <v>-6177</v>
      </c>
      <c r="M42" s="51">
        <f t="shared" si="18"/>
        <v>-4161</v>
      </c>
      <c r="N42" s="51">
        <f t="shared" si="18"/>
        <v>-861</v>
      </c>
      <c r="O42" s="51">
        <f t="shared" si="18"/>
        <v>-1287</v>
      </c>
      <c r="P42" s="51">
        <f t="shared" ref="P42:Z42" si="19">SUM(P40:P41)</f>
        <v>-403</v>
      </c>
      <c r="Q42" s="51">
        <f t="shared" si="19"/>
        <v>-428</v>
      </c>
      <c r="R42" s="51">
        <f t="shared" si="19"/>
        <v>-5826</v>
      </c>
      <c r="S42" s="51">
        <f t="shared" si="19"/>
        <v>-17524</v>
      </c>
      <c r="T42" s="51">
        <f t="shared" si="19"/>
        <v>-1527</v>
      </c>
      <c r="U42" s="51">
        <f t="shared" si="19"/>
        <v>-5801</v>
      </c>
      <c r="V42" s="51">
        <f t="shared" si="19"/>
        <v>-1827</v>
      </c>
      <c r="W42" s="51">
        <f t="shared" si="19"/>
        <v>-2685</v>
      </c>
      <c r="X42" s="51">
        <f t="shared" si="19"/>
        <v>-14487</v>
      </c>
      <c r="Y42" s="51">
        <f t="shared" si="19"/>
        <v>-2215</v>
      </c>
      <c r="Z42" s="51">
        <f t="shared" si="19"/>
        <v>0</v>
      </c>
      <c r="AA42" s="18"/>
      <c r="AB42" s="204"/>
    </row>
    <row r="43" spans="2:28" ht="15"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B43" s="204"/>
    </row>
    <row r="44" spans="2:28" ht="15">
      <c r="B44" s="18" t="s">
        <v>157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8"/>
      <c r="AB44" s="204"/>
    </row>
    <row r="45" spans="2:28" ht="15">
      <c r="B45" t="s">
        <v>115</v>
      </c>
      <c r="C45" s="19">
        <v>0</v>
      </c>
      <c r="D45" s="19">
        <v>-4347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402</v>
      </c>
      <c r="K45" s="19">
        <v>0</v>
      </c>
      <c r="L45" s="19">
        <v>-1088</v>
      </c>
      <c r="M45" s="19">
        <v>-444</v>
      </c>
      <c r="N45" s="19">
        <v>-1883</v>
      </c>
      <c r="O45" s="19">
        <v>-500</v>
      </c>
      <c r="P45" s="19">
        <v>-5250</v>
      </c>
      <c r="Q45" s="19">
        <v>-859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 t="s">
        <v>138</v>
      </c>
      <c r="AB45" s="204"/>
    </row>
    <row r="46" spans="2:28" ht="15">
      <c r="B46" t="s">
        <v>116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171</v>
      </c>
      <c r="M46" s="19">
        <v>0</v>
      </c>
      <c r="N46" s="19">
        <v>341</v>
      </c>
      <c r="O46" s="19">
        <v>0</v>
      </c>
      <c r="P46" s="19">
        <v>0</v>
      </c>
      <c r="Q46" s="19">
        <v>0</v>
      </c>
      <c r="R46" s="19">
        <v>93</v>
      </c>
      <c r="S46" s="19">
        <v>71</v>
      </c>
      <c r="T46" s="19">
        <v>137</v>
      </c>
      <c r="U46" s="19">
        <v>161</v>
      </c>
      <c r="V46" s="19">
        <v>338</v>
      </c>
      <c r="W46" s="19">
        <v>47</v>
      </c>
      <c r="X46" s="19">
        <v>0</v>
      </c>
      <c r="Y46" s="19">
        <v>0</v>
      </c>
      <c r="Z46" s="19" t="s">
        <v>138</v>
      </c>
      <c r="AB46" s="204"/>
    </row>
    <row r="47" spans="2:28" ht="15">
      <c r="B47" s="18" t="s">
        <v>117</v>
      </c>
      <c r="C47" s="51">
        <f t="shared" ref="C47:O47" si="20">SUM(C45:C46)</f>
        <v>0</v>
      </c>
      <c r="D47" s="51">
        <f t="shared" si="20"/>
        <v>-4347</v>
      </c>
      <c r="E47" s="51">
        <f t="shared" si="20"/>
        <v>0</v>
      </c>
      <c r="F47" s="51">
        <f t="shared" si="20"/>
        <v>0</v>
      </c>
      <c r="G47" s="51">
        <f t="shared" si="20"/>
        <v>0</v>
      </c>
      <c r="H47" s="51">
        <f t="shared" si="20"/>
        <v>0</v>
      </c>
      <c r="I47" s="51">
        <f t="shared" si="20"/>
        <v>0</v>
      </c>
      <c r="J47" s="51">
        <f t="shared" si="20"/>
        <v>402</v>
      </c>
      <c r="K47" s="51">
        <f t="shared" si="20"/>
        <v>0</v>
      </c>
      <c r="L47" s="51">
        <f t="shared" si="20"/>
        <v>-917</v>
      </c>
      <c r="M47" s="51">
        <f t="shared" si="20"/>
        <v>-444</v>
      </c>
      <c r="N47" s="51">
        <f t="shared" si="20"/>
        <v>-1542</v>
      </c>
      <c r="O47" s="51">
        <f t="shared" si="20"/>
        <v>-500</v>
      </c>
      <c r="P47" s="51">
        <f t="shared" ref="P47:Z47" si="21">SUM(P45:P46)</f>
        <v>-5250</v>
      </c>
      <c r="Q47" s="51">
        <f t="shared" si="21"/>
        <v>-859</v>
      </c>
      <c r="R47" s="51">
        <f t="shared" si="21"/>
        <v>93</v>
      </c>
      <c r="S47" s="51">
        <f t="shared" si="21"/>
        <v>71</v>
      </c>
      <c r="T47" s="51">
        <f t="shared" si="21"/>
        <v>137</v>
      </c>
      <c r="U47" s="51">
        <f t="shared" si="21"/>
        <v>161</v>
      </c>
      <c r="V47" s="51">
        <f t="shared" si="21"/>
        <v>338</v>
      </c>
      <c r="W47" s="51">
        <f t="shared" si="21"/>
        <v>47</v>
      </c>
      <c r="X47" s="51">
        <f t="shared" si="21"/>
        <v>0</v>
      </c>
      <c r="Y47" s="51">
        <f t="shared" si="21"/>
        <v>0</v>
      </c>
      <c r="Z47" s="51">
        <f t="shared" si="21"/>
        <v>0</v>
      </c>
      <c r="AA47" s="18"/>
      <c r="AB47" s="204"/>
    </row>
    <row r="48" spans="2:28" ht="15"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B48" s="204"/>
    </row>
    <row r="49" spans="2:28" ht="15">
      <c r="B49" s="17" t="s">
        <v>118</v>
      </c>
      <c r="C49" s="53">
        <f>C47+C42</f>
        <v>-5054</v>
      </c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17"/>
      <c r="AB49" s="204"/>
    </row>
    <row r="50" spans="2:28" ht="15"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B50" s="204"/>
    </row>
    <row r="51" spans="2:28" ht="15">
      <c r="B51" s="17" t="s">
        <v>119</v>
      </c>
      <c r="C51" s="75">
        <v>0</v>
      </c>
      <c r="D51" s="75">
        <v>0</v>
      </c>
      <c r="E51" s="75">
        <v>-8</v>
      </c>
      <c r="F51" s="75">
        <v>0</v>
      </c>
      <c r="G51" s="75">
        <v>-125</v>
      </c>
      <c r="H51" s="75">
        <v>-139</v>
      </c>
      <c r="I51" s="75">
        <v>600</v>
      </c>
      <c r="J51" s="75">
        <v>0</v>
      </c>
      <c r="K51" s="75">
        <v>-3554</v>
      </c>
      <c r="L51" s="75">
        <v>0</v>
      </c>
      <c r="M51" s="75">
        <v>0</v>
      </c>
      <c r="N51" s="75">
        <v>0</v>
      </c>
      <c r="O51" s="75">
        <v>46</v>
      </c>
      <c r="P51" s="75">
        <v>-4000</v>
      </c>
      <c r="Q51" s="75">
        <v>0</v>
      </c>
      <c r="R51" s="75">
        <v>0</v>
      </c>
      <c r="S51" s="75">
        <v>0</v>
      </c>
      <c r="T51" s="75">
        <v>0</v>
      </c>
      <c r="U51" s="75">
        <v>0</v>
      </c>
      <c r="V51" s="75">
        <v>0</v>
      </c>
      <c r="W51" s="75">
        <v>0</v>
      </c>
      <c r="X51" s="75">
        <v>-1244</v>
      </c>
      <c r="Y51" s="75">
        <v>-796</v>
      </c>
      <c r="Z51" s="75"/>
      <c r="AA51" s="17"/>
      <c r="AB51" s="204"/>
    </row>
    <row r="52" spans="2:28" ht="15"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B52" s="204"/>
    </row>
    <row r="53" spans="2:28" ht="15">
      <c r="B53" s="78" t="s">
        <v>120</v>
      </c>
      <c r="C53" s="53">
        <f t="shared" ref="C53:O53" si="22">C51+C47+C42+C36</f>
        <v>-5623</v>
      </c>
      <c r="D53" s="53">
        <f t="shared" si="22"/>
        <v>-9602</v>
      </c>
      <c r="E53" s="53">
        <f t="shared" si="22"/>
        <v>-6426</v>
      </c>
      <c r="F53" s="53">
        <f t="shared" si="22"/>
        <v>-2184</v>
      </c>
      <c r="G53" s="53">
        <f t="shared" si="22"/>
        <v>-1107</v>
      </c>
      <c r="H53" s="53">
        <f t="shared" si="22"/>
        <v>-775</v>
      </c>
      <c r="I53" s="53">
        <f t="shared" si="22"/>
        <v>-557</v>
      </c>
      <c r="J53" s="53">
        <f t="shared" si="22"/>
        <v>-529</v>
      </c>
      <c r="K53" s="53">
        <f t="shared" si="22"/>
        <v>-9554</v>
      </c>
      <c r="L53" s="53">
        <f t="shared" si="22"/>
        <v>-7141</v>
      </c>
      <c r="M53" s="53">
        <f t="shared" si="22"/>
        <v>1704</v>
      </c>
      <c r="N53" s="53">
        <f t="shared" si="22"/>
        <v>-8647</v>
      </c>
      <c r="O53" s="53">
        <f t="shared" si="22"/>
        <v>-1716</v>
      </c>
      <c r="P53" s="53">
        <f t="shared" ref="P53:Z53" si="23">P51+P47+P42+P36</f>
        <v>-9629</v>
      </c>
      <c r="Q53" s="53">
        <f t="shared" si="23"/>
        <v>-1238</v>
      </c>
      <c r="R53" s="53">
        <f t="shared" si="23"/>
        <v>-5680</v>
      </c>
      <c r="S53" s="53">
        <f t="shared" si="23"/>
        <v>-16596</v>
      </c>
      <c r="T53" s="53">
        <f t="shared" si="23"/>
        <v>13875</v>
      </c>
      <c r="U53" s="53">
        <f t="shared" si="23"/>
        <v>-22020</v>
      </c>
      <c r="V53" s="53">
        <f t="shared" si="23"/>
        <v>-1489</v>
      </c>
      <c r="W53" s="53">
        <f t="shared" si="23"/>
        <v>-2842</v>
      </c>
      <c r="X53" s="53">
        <f t="shared" si="23"/>
        <v>-15015</v>
      </c>
      <c r="Y53" s="53">
        <f t="shared" si="23"/>
        <v>-3225</v>
      </c>
      <c r="Z53" s="53">
        <f t="shared" si="23"/>
        <v>0</v>
      </c>
      <c r="AA53" s="78"/>
      <c r="AB53" s="204"/>
    </row>
    <row r="54" spans="2:28" ht="15"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B54" s="204"/>
    </row>
    <row r="55" spans="2:28" ht="15.75">
      <c r="B55" s="79" t="s">
        <v>158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79"/>
      <c r="AB55" s="204"/>
    </row>
    <row r="56" spans="2:28" ht="15.75">
      <c r="B56" s="7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79"/>
      <c r="AB56" s="204"/>
    </row>
    <row r="57" spans="2:28" ht="15.75">
      <c r="B57" s="79" t="s">
        <v>159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79"/>
      <c r="AB57" s="204"/>
    </row>
    <row r="58" spans="2:28" ht="15.75">
      <c r="B58" s="7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79"/>
      <c r="AB58" s="204"/>
    </row>
    <row r="59" spans="2:28" s="17" customFormat="1" ht="15">
      <c r="B59" s="18" t="s">
        <v>121</v>
      </c>
      <c r="C59" s="20">
        <v>0</v>
      </c>
      <c r="D59" s="75">
        <v>0</v>
      </c>
      <c r="E59" s="75">
        <v>0</v>
      </c>
      <c r="F59" s="75">
        <v>0</v>
      </c>
      <c r="G59" s="75">
        <v>0</v>
      </c>
      <c r="H59" s="75">
        <v>0</v>
      </c>
      <c r="I59" s="75">
        <v>0</v>
      </c>
      <c r="J59" s="75">
        <v>0</v>
      </c>
      <c r="K59" s="75">
        <v>0</v>
      </c>
      <c r="L59" s="75">
        <v>0</v>
      </c>
      <c r="M59" s="75">
        <v>0</v>
      </c>
      <c r="N59" s="75">
        <v>-1023</v>
      </c>
      <c r="O59" s="75">
        <v>0</v>
      </c>
      <c r="P59" s="75">
        <v>0</v>
      </c>
      <c r="Q59" s="75">
        <v>0</v>
      </c>
      <c r="R59" s="75">
        <v>-6244</v>
      </c>
      <c r="S59" s="75">
        <v>-7417</v>
      </c>
      <c r="T59" s="75">
        <v>-16191</v>
      </c>
      <c r="U59" s="75">
        <v>0</v>
      </c>
      <c r="V59" s="75">
        <v>0</v>
      </c>
      <c r="W59" s="75">
        <v>0</v>
      </c>
      <c r="X59" s="75">
        <v>0</v>
      </c>
      <c r="Y59" s="75">
        <v>0</v>
      </c>
      <c r="Z59" s="75"/>
      <c r="AA59" s="18"/>
      <c r="AB59" s="204"/>
    </row>
    <row r="60" spans="2:28" ht="15"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B60" s="204"/>
    </row>
    <row r="61" spans="2:28" ht="15">
      <c r="B61" s="80" t="s">
        <v>160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80"/>
      <c r="AB61" s="204"/>
    </row>
    <row r="62" spans="2:28" ht="15">
      <c r="B62" t="s">
        <v>122</v>
      </c>
      <c r="C62" s="19">
        <v>0</v>
      </c>
      <c r="D62" s="19">
        <v>77333</v>
      </c>
      <c r="E62" s="19">
        <v>5496</v>
      </c>
      <c r="F62" s="19">
        <v>13921</v>
      </c>
      <c r="G62" s="19">
        <v>1000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61862</v>
      </c>
      <c r="O62" s="19">
        <v>191</v>
      </c>
      <c r="P62" s="19">
        <v>0</v>
      </c>
      <c r="Q62" s="19">
        <v>0</v>
      </c>
      <c r="R62" s="19">
        <v>226</v>
      </c>
      <c r="S62" s="19">
        <v>354</v>
      </c>
      <c r="T62" s="19">
        <v>463</v>
      </c>
      <c r="U62" s="19">
        <v>46</v>
      </c>
      <c r="V62" s="19">
        <v>24979</v>
      </c>
      <c r="W62" s="19">
        <v>73</v>
      </c>
      <c r="X62" s="19">
        <v>0</v>
      </c>
      <c r="Y62" s="19">
        <v>4769</v>
      </c>
      <c r="Z62" s="19" t="s">
        <v>138</v>
      </c>
      <c r="AB62" s="204"/>
    </row>
    <row r="63" spans="2:28" ht="15">
      <c r="B63" t="s">
        <v>123</v>
      </c>
      <c r="C63" s="19">
        <v>-7800</v>
      </c>
      <c r="D63" s="19">
        <v>-30828</v>
      </c>
      <c r="E63" s="19">
        <v>-7218</v>
      </c>
      <c r="F63" s="19">
        <v>-5264</v>
      </c>
      <c r="G63" s="19">
        <v>-5192</v>
      </c>
      <c r="H63" s="19">
        <v>-9555</v>
      </c>
      <c r="I63" s="19">
        <v>-4123</v>
      </c>
      <c r="J63" s="19">
        <v>0</v>
      </c>
      <c r="K63" s="19">
        <v>-9256</v>
      </c>
      <c r="L63" s="19">
        <v>-8832</v>
      </c>
      <c r="M63" s="19">
        <v>-8891</v>
      </c>
      <c r="N63" s="19">
        <v>-7125</v>
      </c>
      <c r="O63" s="19">
        <v>-7125</v>
      </c>
      <c r="P63" s="19">
        <v>-7068</v>
      </c>
      <c r="Q63" s="19">
        <v>-7072</v>
      </c>
      <c r="R63" s="19">
        <v>-223</v>
      </c>
      <c r="S63" s="19">
        <v>-4189</v>
      </c>
      <c r="T63" s="19">
        <v>0</v>
      </c>
      <c r="U63" s="19">
        <v>-4185</v>
      </c>
      <c r="V63" s="19">
        <v>-4304</v>
      </c>
      <c r="W63" s="19">
        <v>0</v>
      </c>
      <c r="X63" s="19">
        <v>0</v>
      </c>
      <c r="Y63" s="19">
        <v>0</v>
      </c>
      <c r="Z63" s="19" t="s">
        <v>138</v>
      </c>
      <c r="AB63" s="204"/>
    </row>
    <row r="64" spans="2:28" ht="15">
      <c r="B64" s="18" t="s">
        <v>124</v>
      </c>
      <c r="C64" s="51">
        <v>-7800</v>
      </c>
      <c r="D64" s="51">
        <v>46505</v>
      </c>
      <c r="E64" s="51">
        <v>-1722</v>
      </c>
      <c r="F64" s="51">
        <v>8657</v>
      </c>
      <c r="G64" s="51">
        <v>-4192</v>
      </c>
      <c r="H64" s="51">
        <v>-9555</v>
      </c>
      <c r="I64" s="51">
        <v>-4123</v>
      </c>
      <c r="J64" s="51">
        <v>0</v>
      </c>
      <c r="K64" s="51">
        <v>-9256</v>
      </c>
      <c r="L64" s="51">
        <v>-8832</v>
      </c>
      <c r="M64" s="51">
        <v>-8891</v>
      </c>
      <c r="N64" s="51">
        <v>54737</v>
      </c>
      <c r="O64" s="51">
        <v>-6934</v>
      </c>
      <c r="P64" s="51">
        <v>-7068</v>
      </c>
      <c r="Q64" s="51">
        <v>-7072</v>
      </c>
      <c r="R64" s="51">
        <v>3</v>
      </c>
      <c r="S64" s="51">
        <v>-3835</v>
      </c>
      <c r="T64" s="51">
        <v>463</v>
      </c>
      <c r="U64" s="51">
        <v>-4139</v>
      </c>
      <c r="V64" s="51">
        <v>20675</v>
      </c>
      <c r="W64" s="51">
        <v>73</v>
      </c>
      <c r="X64" s="51">
        <v>0</v>
      </c>
      <c r="Y64" s="51">
        <v>4769</v>
      </c>
      <c r="Z64" s="51">
        <v>0</v>
      </c>
      <c r="AA64" s="18"/>
      <c r="AB64" s="204"/>
    </row>
    <row r="65" spans="2:28" ht="15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B65" s="204"/>
    </row>
    <row r="66" spans="2:28" ht="15">
      <c r="B66" s="17" t="s">
        <v>125</v>
      </c>
      <c r="C66" s="53">
        <v>-7800</v>
      </c>
      <c r="D66" s="53">
        <v>46505</v>
      </c>
      <c r="E66" s="53">
        <v>-1722</v>
      </c>
      <c r="F66" s="53">
        <v>8657</v>
      </c>
      <c r="G66" s="53">
        <v>-4192</v>
      </c>
      <c r="H66" s="53">
        <v>-9555</v>
      </c>
      <c r="I66" s="53">
        <v>-4123</v>
      </c>
      <c r="J66" s="53">
        <v>0</v>
      </c>
      <c r="K66" s="53">
        <v>-9256</v>
      </c>
      <c r="L66" s="53">
        <v>-8832</v>
      </c>
      <c r="M66" s="53">
        <v>-8891</v>
      </c>
      <c r="N66" s="53">
        <v>53714</v>
      </c>
      <c r="O66" s="53">
        <v>-6934</v>
      </c>
      <c r="P66" s="53">
        <v>-7068</v>
      </c>
      <c r="Q66" s="53">
        <v>-7072</v>
      </c>
      <c r="R66" s="53">
        <v>-6241</v>
      </c>
      <c r="S66" s="53">
        <v>-11252</v>
      </c>
      <c r="T66" s="53">
        <v>-15728</v>
      </c>
      <c r="U66" s="53">
        <v>-4139</v>
      </c>
      <c r="V66" s="53">
        <v>20675</v>
      </c>
      <c r="W66" s="53">
        <v>73</v>
      </c>
      <c r="X66" s="53">
        <v>0</v>
      </c>
      <c r="Y66" s="53">
        <v>4769</v>
      </c>
      <c r="Z66" s="53">
        <v>0</v>
      </c>
      <c r="AA66" s="17"/>
      <c r="AB66" s="204"/>
    </row>
    <row r="67" spans="2:28" ht="15"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B67" s="204"/>
    </row>
    <row r="68" spans="2:28" ht="15.75">
      <c r="B68" s="79" t="s">
        <v>126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79"/>
      <c r="AB68" s="204"/>
    </row>
    <row r="69" spans="2:28" ht="15.75">
      <c r="B69" s="7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79"/>
      <c r="AB69" s="204"/>
    </row>
    <row r="70" spans="2:28" ht="15">
      <c r="B70" s="17" t="s">
        <v>59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7"/>
      <c r="AB70" s="204"/>
    </row>
    <row r="71" spans="2:28" ht="15">
      <c r="B71" t="s">
        <v>127</v>
      </c>
      <c r="C71" s="19">
        <v>0</v>
      </c>
      <c r="D71" s="19">
        <v>7900</v>
      </c>
      <c r="E71" s="19">
        <v>4900</v>
      </c>
      <c r="F71" s="19" t="s">
        <v>138</v>
      </c>
      <c r="G71" s="19" t="s">
        <v>138</v>
      </c>
      <c r="H71" s="19" t="s">
        <v>138</v>
      </c>
      <c r="I71" s="19" t="s">
        <v>138</v>
      </c>
      <c r="J71" s="19">
        <v>-23045</v>
      </c>
      <c r="K71" s="19">
        <v>42778</v>
      </c>
      <c r="L71" s="19">
        <v>9299</v>
      </c>
      <c r="M71" s="19">
        <v>0</v>
      </c>
      <c r="N71" s="19" t="s">
        <v>138</v>
      </c>
      <c r="O71" s="19" t="s">
        <v>138</v>
      </c>
      <c r="P71" s="19" t="s">
        <v>138</v>
      </c>
      <c r="Q71" s="19" t="s">
        <v>138</v>
      </c>
      <c r="R71" s="19" t="s">
        <v>138</v>
      </c>
      <c r="S71" s="19" t="s">
        <v>138</v>
      </c>
      <c r="T71" s="19" t="s">
        <v>138</v>
      </c>
      <c r="U71" s="19" t="s">
        <v>138</v>
      </c>
      <c r="V71" s="19" t="s">
        <v>138</v>
      </c>
      <c r="W71" s="19" t="s">
        <v>138</v>
      </c>
      <c r="X71" s="19" t="s">
        <v>138</v>
      </c>
      <c r="Y71" s="19" t="s">
        <v>138</v>
      </c>
      <c r="Z71" s="19" t="s">
        <v>138</v>
      </c>
      <c r="AB71" s="204"/>
    </row>
    <row r="72" spans="2:28" ht="15">
      <c r="B72" t="s">
        <v>128</v>
      </c>
      <c r="C72" s="19">
        <v>-3996</v>
      </c>
      <c r="D72" s="19">
        <v>-6471</v>
      </c>
      <c r="E72" s="19">
        <v>-3793</v>
      </c>
      <c r="F72" s="19" t="s">
        <v>138</v>
      </c>
      <c r="G72" s="19" t="s">
        <v>138</v>
      </c>
      <c r="H72" s="19" t="s">
        <v>138</v>
      </c>
      <c r="I72" s="19" t="s">
        <v>138</v>
      </c>
      <c r="J72" s="19">
        <v>0</v>
      </c>
      <c r="K72" s="19">
        <v>0</v>
      </c>
      <c r="L72" s="19">
        <v>0</v>
      </c>
      <c r="M72" s="19">
        <v>-8402</v>
      </c>
      <c r="N72" s="19" t="s">
        <v>138</v>
      </c>
      <c r="O72" s="19" t="s">
        <v>138</v>
      </c>
      <c r="P72" s="19" t="s">
        <v>138</v>
      </c>
      <c r="Q72" s="19" t="s">
        <v>138</v>
      </c>
      <c r="R72" s="19" t="s">
        <v>138</v>
      </c>
      <c r="S72" s="19" t="s">
        <v>138</v>
      </c>
      <c r="T72" s="19" t="s">
        <v>138</v>
      </c>
      <c r="U72" s="19" t="s">
        <v>138</v>
      </c>
      <c r="V72" s="19" t="s">
        <v>138</v>
      </c>
      <c r="W72" s="19" t="s">
        <v>138</v>
      </c>
      <c r="X72" s="19" t="s">
        <v>138</v>
      </c>
      <c r="Y72" s="19" t="s">
        <v>138</v>
      </c>
      <c r="Z72" s="19" t="s">
        <v>138</v>
      </c>
      <c r="AB72" s="204"/>
    </row>
    <row r="73" spans="2:28" ht="15">
      <c r="B73" s="18" t="s">
        <v>129</v>
      </c>
      <c r="C73" s="51">
        <v>-3996</v>
      </c>
      <c r="D73" s="51">
        <v>1429</v>
      </c>
      <c r="E73" s="51">
        <v>1107</v>
      </c>
      <c r="F73" s="51">
        <v>-12860</v>
      </c>
      <c r="G73" s="51">
        <v>-3580</v>
      </c>
      <c r="H73" s="51">
        <v>-3651</v>
      </c>
      <c r="I73" s="51">
        <v>1627</v>
      </c>
      <c r="J73" s="51">
        <v>-23045</v>
      </c>
      <c r="K73" s="51">
        <v>42778</v>
      </c>
      <c r="L73" s="51">
        <v>9299</v>
      </c>
      <c r="M73" s="51">
        <v>-8402</v>
      </c>
      <c r="N73" s="51">
        <v>-15776</v>
      </c>
      <c r="O73" s="51">
        <v>-9818</v>
      </c>
      <c r="P73" s="51">
        <v>7757</v>
      </c>
      <c r="Q73" s="51">
        <v>4604</v>
      </c>
      <c r="R73" s="51">
        <v>-1401</v>
      </c>
      <c r="S73" s="51">
        <v>23037</v>
      </c>
      <c r="T73" s="51">
        <v>-185</v>
      </c>
      <c r="U73" s="51">
        <v>185</v>
      </c>
      <c r="V73" s="51">
        <v>-862</v>
      </c>
      <c r="W73" s="51">
        <v>-3345</v>
      </c>
      <c r="X73" s="51">
        <v>4206</v>
      </c>
      <c r="Y73" s="51">
        <v>-22483</v>
      </c>
      <c r="Z73" s="51"/>
      <c r="AA73" s="18"/>
      <c r="AB73" s="204"/>
    </row>
    <row r="74" spans="2:28" ht="15"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B74" s="204"/>
    </row>
    <row r="75" spans="2:28" ht="15">
      <c r="B75" s="17" t="s">
        <v>69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7"/>
      <c r="AB75" s="204"/>
    </row>
    <row r="76" spans="2:28" ht="15">
      <c r="B76" t="s">
        <v>130</v>
      </c>
      <c r="C76" s="19">
        <v>0</v>
      </c>
      <c r="D76" s="19">
        <v>0</v>
      </c>
      <c r="E76" s="19">
        <v>1800</v>
      </c>
      <c r="F76" s="19">
        <v>1000</v>
      </c>
      <c r="G76" s="19">
        <v>93</v>
      </c>
      <c r="H76" s="19">
        <v>3000</v>
      </c>
      <c r="I76" s="19">
        <v>4293</v>
      </c>
      <c r="J76" s="19">
        <v>3000</v>
      </c>
      <c r="K76" s="19">
        <v>1001</v>
      </c>
      <c r="L76" s="19">
        <v>5289</v>
      </c>
      <c r="M76" s="19">
        <v>0</v>
      </c>
      <c r="N76" s="19">
        <v>169</v>
      </c>
      <c r="O76" s="19">
        <v>9000</v>
      </c>
      <c r="P76" s="19">
        <v>9500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6856</v>
      </c>
      <c r="Z76" s="19" t="s">
        <v>138</v>
      </c>
      <c r="AB76" s="204"/>
    </row>
    <row r="77" spans="2:28" ht="15">
      <c r="B77" t="s">
        <v>131</v>
      </c>
      <c r="C77" s="19">
        <v>-3284</v>
      </c>
      <c r="D77" s="19">
        <v>-6243</v>
      </c>
      <c r="E77" s="19">
        <v>-1374</v>
      </c>
      <c r="F77" s="19">
        <v>-3704</v>
      </c>
      <c r="G77" s="19">
        <v>-3294</v>
      </c>
      <c r="H77" s="19">
        <v>-2074</v>
      </c>
      <c r="I77" s="19">
        <v>-1272</v>
      </c>
      <c r="J77" s="19">
        <v>-871</v>
      </c>
      <c r="K77" s="19">
        <v>-4110</v>
      </c>
      <c r="L77" s="19">
        <v>-1442</v>
      </c>
      <c r="M77" s="19">
        <v>-1032</v>
      </c>
      <c r="N77" s="19">
        <v>-12496</v>
      </c>
      <c r="O77" s="19">
        <v>-2110</v>
      </c>
      <c r="P77" s="19">
        <v>-79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-1479</v>
      </c>
      <c r="X77" s="19">
        <v>-3266</v>
      </c>
      <c r="Y77" s="19">
        <v>-1797</v>
      </c>
      <c r="Z77" s="19" t="s">
        <v>138</v>
      </c>
      <c r="AB77" s="204"/>
    </row>
    <row r="78" spans="2:28" ht="15">
      <c r="B78" s="17" t="s">
        <v>132</v>
      </c>
      <c r="C78" s="51">
        <v>-3284</v>
      </c>
      <c r="D78" s="51">
        <v>-6243</v>
      </c>
      <c r="E78" s="51">
        <v>426</v>
      </c>
      <c r="F78" s="51">
        <v>-2704</v>
      </c>
      <c r="G78" s="51">
        <v>-3201</v>
      </c>
      <c r="H78" s="51">
        <v>926</v>
      </c>
      <c r="I78" s="51">
        <v>3021</v>
      </c>
      <c r="J78" s="51">
        <v>2129</v>
      </c>
      <c r="K78" s="51">
        <v>-3109</v>
      </c>
      <c r="L78" s="51">
        <v>3847</v>
      </c>
      <c r="M78" s="51">
        <v>-1032</v>
      </c>
      <c r="N78" s="51">
        <v>-12327</v>
      </c>
      <c r="O78" s="51">
        <v>6890</v>
      </c>
      <c r="P78" s="51">
        <v>9421</v>
      </c>
      <c r="Q78" s="51">
        <v>0</v>
      </c>
      <c r="R78" s="51">
        <v>0</v>
      </c>
      <c r="S78" s="51">
        <v>0</v>
      </c>
      <c r="T78" s="51">
        <v>0</v>
      </c>
      <c r="U78" s="51">
        <v>0</v>
      </c>
      <c r="V78" s="51">
        <v>0</v>
      </c>
      <c r="W78" s="51">
        <v>-1479</v>
      </c>
      <c r="X78" s="51">
        <v>-3266</v>
      </c>
      <c r="Y78" s="51">
        <v>5059</v>
      </c>
      <c r="Z78" s="51">
        <v>0</v>
      </c>
      <c r="AA78" s="17"/>
      <c r="AB78" s="204"/>
    </row>
    <row r="79" spans="2:28" ht="15"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B79" s="204"/>
    </row>
    <row r="80" spans="2:28" ht="15">
      <c r="B80" s="78" t="s">
        <v>126</v>
      </c>
      <c r="C80" s="53">
        <v>-7280</v>
      </c>
      <c r="D80" s="53">
        <v>-4814</v>
      </c>
      <c r="E80" s="53">
        <v>1533</v>
      </c>
      <c r="F80" s="53">
        <v>-15564</v>
      </c>
      <c r="G80" s="53">
        <v>-6781</v>
      </c>
      <c r="H80" s="53">
        <v>-2725</v>
      </c>
      <c r="I80" s="53">
        <v>4648</v>
      </c>
      <c r="J80" s="53">
        <v>-20916</v>
      </c>
      <c r="K80" s="53">
        <v>39669</v>
      </c>
      <c r="L80" s="53">
        <v>13146</v>
      </c>
      <c r="M80" s="53">
        <v>-9434</v>
      </c>
      <c r="N80" s="53">
        <v>-28103</v>
      </c>
      <c r="O80" s="53">
        <v>-2928</v>
      </c>
      <c r="P80" s="53">
        <v>17178</v>
      </c>
      <c r="Q80" s="53">
        <v>4604</v>
      </c>
      <c r="R80" s="53">
        <v>-1401</v>
      </c>
      <c r="S80" s="53">
        <v>23037</v>
      </c>
      <c r="T80" s="53">
        <v>-185</v>
      </c>
      <c r="U80" s="53">
        <v>185</v>
      </c>
      <c r="V80" s="53">
        <v>-862</v>
      </c>
      <c r="W80" s="53">
        <v>-4824</v>
      </c>
      <c r="X80" s="53">
        <v>940</v>
      </c>
      <c r="Y80" s="53">
        <v>-17424</v>
      </c>
      <c r="Z80" s="53">
        <v>0</v>
      </c>
      <c r="AA80" s="78"/>
      <c r="AB80" s="204"/>
    </row>
    <row r="81" spans="2:28" ht="15"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B81" s="204"/>
    </row>
    <row r="82" spans="2:28" s="17" customFormat="1" ht="15">
      <c r="B82" s="17" t="s">
        <v>133</v>
      </c>
      <c r="C82" s="75">
        <v>-5110</v>
      </c>
      <c r="D82" s="75">
        <v>-3422</v>
      </c>
      <c r="E82" s="75">
        <v>-4044</v>
      </c>
      <c r="F82" s="75">
        <v>-5167</v>
      </c>
      <c r="G82" s="75">
        <v>-6056</v>
      </c>
      <c r="H82" s="75">
        <v>7436</v>
      </c>
      <c r="I82" s="75">
        <v>-8444</v>
      </c>
      <c r="J82" s="75">
        <v>-1677</v>
      </c>
      <c r="K82" s="75">
        <v>-14590</v>
      </c>
      <c r="L82" s="75">
        <v>389</v>
      </c>
      <c r="M82" s="75">
        <v>0</v>
      </c>
      <c r="N82" s="75">
        <v>-2889</v>
      </c>
      <c r="O82" s="75">
        <v>0</v>
      </c>
      <c r="P82" s="75">
        <v>-629</v>
      </c>
      <c r="Q82" s="75">
        <v>-181</v>
      </c>
      <c r="R82" s="75">
        <v>-94</v>
      </c>
      <c r="S82" s="75">
        <v>2727</v>
      </c>
      <c r="T82" s="75">
        <v>-229</v>
      </c>
      <c r="U82" s="75">
        <v>-458</v>
      </c>
      <c r="V82" s="75">
        <v>-358</v>
      </c>
      <c r="W82" s="75">
        <v>-926</v>
      </c>
      <c r="X82" s="75">
        <v>-932</v>
      </c>
      <c r="Y82" s="75">
        <v>0</v>
      </c>
      <c r="Z82" s="75"/>
      <c r="AB82" s="204"/>
    </row>
    <row r="83" spans="2:28" ht="15"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B83" s="204"/>
    </row>
    <row r="84" spans="2:28" ht="15">
      <c r="B84" s="78" t="s">
        <v>161</v>
      </c>
      <c r="C84" s="53">
        <f t="shared" ref="C84:Z84" si="24">C59+C64+C73+C78+C82</f>
        <v>-20190</v>
      </c>
      <c r="D84" s="53">
        <f t="shared" si="24"/>
        <v>38269</v>
      </c>
      <c r="E84" s="53">
        <f t="shared" si="24"/>
        <v>-4233</v>
      </c>
      <c r="F84" s="53">
        <f t="shared" si="24"/>
        <v>-12074</v>
      </c>
      <c r="G84" s="53">
        <f t="shared" si="24"/>
        <v>-17029</v>
      </c>
      <c r="H84" s="53">
        <f t="shared" si="24"/>
        <v>-4844</v>
      </c>
      <c r="I84" s="53">
        <f t="shared" si="24"/>
        <v>-7919</v>
      </c>
      <c r="J84" s="53">
        <f t="shared" si="24"/>
        <v>-22593</v>
      </c>
      <c r="K84" s="53">
        <f t="shared" si="24"/>
        <v>15823</v>
      </c>
      <c r="L84" s="53">
        <f t="shared" si="24"/>
        <v>4703</v>
      </c>
      <c r="M84" s="53">
        <f t="shared" si="24"/>
        <v>-18325</v>
      </c>
      <c r="N84" s="53">
        <f t="shared" si="24"/>
        <v>22722</v>
      </c>
      <c r="O84" s="53">
        <f t="shared" si="24"/>
        <v>-9862</v>
      </c>
      <c r="P84" s="53">
        <f t="shared" si="24"/>
        <v>9481</v>
      </c>
      <c r="Q84" s="53">
        <f t="shared" si="24"/>
        <v>-2649</v>
      </c>
      <c r="R84" s="53">
        <f t="shared" si="24"/>
        <v>-7736</v>
      </c>
      <c r="S84" s="53">
        <f t="shared" si="24"/>
        <v>14512</v>
      </c>
      <c r="T84" s="53">
        <f t="shared" si="24"/>
        <v>-16142</v>
      </c>
      <c r="U84" s="53">
        <f t="shared" si="24"/>
        <v>-4412</v>
      </c>
      <c r="V84" s="53">
        <f t="shared" si="24"/>
        <v>19455</v>
      </c>
      <c r="W84" s="53">
        <f t="shared" si="24"/>
        <v>-5677</v>
      </c>
      <c r="X84" s="53">
        <f t="shared" si="24"/>
        <v>8</v>
      </c>
      <c r="Y84" s="53">
        <f t="shared" si="24"/>
        <v>-12655</v>
      </c>
      <c r="Z84" s="53">
        <f t="shared" si="24"/>
        <v>0</v>
      </c>
      <c r="AA84" s="78"/>
      <c r="AB84" s="204"/>
    </row>
    <row r="85" spans="2:28" ht="15"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B85" s="204"/>
    </row>
    <row r="86" spans="2:28" s="17" customFormat="1" ht="15">
      <c r="B86" s="17" t="s">
        <v>134</v>
      </c>
      <c r="C86" s="75">
        <v>0</v>
      </c>
      <c r="D86" s="75">
        <v>0</v>
      </c>
      <c r="E86" s="75">
        <v>0</v>
      </c>
      <c r="F86" s="75">
        <v>0</v>
      </c>
      <c r="G86" s="75">
        <v>0</v>
      </c>
      <c r="H86" s="75">
        <v>0</v>
      </c>
      <c r="I86" s="75">
        <v>0</v>
      </c>
      <c r="J86" s="75">
        <v>0</v>
      </c>
      <c r="K86" s="75">
        <v>0</v>
      </c>
      <c r="L86" s="75">
        <v>0</v>
      </c>
      <c r="M86" s="75">
        <v>0</v>
      </c>
      <c r="N86" s="75">
        <v>0</v>
      </c>
      <c r="O86" s="75">
        <v>0</v>
      </c>
      <c r="P86" s="75">
        <v>0</v>
      </c>
      <c r="Q86" s="75">
        <v>0</v>
      </c>
      <c r="R86" s="75">
        <v>0</v>
      </c>
      <c r="S86" s="75">
        <v>0</v>
      </c>
      <c r="T86" s="75">
        <v>0</v>
      </c>
      <c r="U86" s="75">
        <v>0</v>
      </c>
      <c r="V86" s="75">
        <v>0</v>
      </c>
      <c r="W86" s="75">
        <v>0</v>
      </c>
      <c r="X86" s="75">
        <v>0</v>
      </c>
      <c r="Y86" s="75">
        <v>0</v>
      </c>
      <c r="Z86" s="75"/>
      <c r="AB86" s="204"/>
    </row>
    <row r="87" spans="2:28" ht="15"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B87" s="204"/>
    </row>
    <row r="88" spans="2:28" ht="15.75">
      <c r="B88" s="16" t="s">
        <v>135</v>
      </c>
      <c r="C88" s="82">
        <f t="shared" ref="C88:Z88" si="25">C86+C84+C53+C23</f>
        <v>331</v>
      </c>
      <c r="D88" s="82">
        <f t="shared" si="25"/>
        <v>5677</v>
      </c>
      <c r="E88" s="82">
        <f t="shared" si="25"/>
        <v>2655</v>
      </c>
      <c r="F88" s="82">
        <f t="shared" si="25"/>
        <v>-590</v>
      </c>
      <c r="G88" s="82">
        <f t="shared" si="25"/>
        <v>2089</v>
      </c>
      <c r="H88" s="82">
        <f t="shared" si="25"/>
        <v>-1078</v>
      </c>
      <c r="I88" s="82">
        <f t="shared" si="25"/>
        <v>-1528</v>
      </c>
      <c r="J88" s="82">
        <f t="shared" si="25"/>
        <v>2260</v>
      </c>
      <c r="K88" s="82">
        <f t="shared" si="25"/>
        <v>-481</v>
      </c>
      <c r="L88" s="82">
        <f t="shared" si="25"/>
        <v>-1308</v>
      </c>
      <c r="M88" s="82">
        <f t="shared" si="25"/>
        <v>-795</v>
      </c>
      <c r="N88" s="82">
        <f t="shared" si="25"/>
        <v>4513</v>
      </c>
      <c r="O88" s="82">
        <f t="shared" si="25"/>
        <v>-757</v>
      </c>
      <c r="P88" s="82">
        <f t="shared" si="25"/>
        <v>754</v>
      </c>
      <c r="Q88" s="82">
        <f t="shared" si="25"/>
        <v>297</v>
      </c>
      <c r="R88" s="82">
        <f t="shared" si="25"/>
        <v>-355</v>
      </c>
      <c r="S88" s="82">
        <f t="shared" si="25"/>
        <v>122</v>
      </c>
      <c r="T88" s="82">
        <f t="shared" si="25"/>
        <v>-1444</v>
      </c>
      <c r="U88" s="82">
        <f t="shared" si="25"/>
        <v>-23196</v>
      </c>
      <c r="V88" s="82">
        <f t="shared" si="25"/>
        <v>22536</v>
      </c>
      <c r="W88" s="82">
        <f t="shared" si="25"/>
        <v>2193</v>
      </c>
      <c r="X88" s="82">
        <f t="shared" si="25"/>
        <v>-902</v>
      </c>
      <c r="Y88" s="82">
        <f t="shared" si="25"/>
        <v>-2088</v>
      </c>
      <c r="Z88" s="82">
        <f t="shared" si="25"/>
        <v>1861</v>
      </c>
      <c r="AA88" s="16"/>
      <c r="AB88" s="204"/>
    </row>
    <row r="89" spans="2:28" ht="15"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B89" s="204"/>
    </row>
    <row r="90" spans="2:28" ht="15.75">
      <c r="B90" s="16" t="s">
        <v>136</v>
      </c>
      <c r="C90" s="83">
        <v>11769</v>
      </c>
      <c r="D90" s="83">
        <v>6092</v>
      </c>
      <c r="E90" s="83">
        <v>3437</v>
      </c>
      <c r="F90" s="83">
        <v>4027</v>
      </c>
      <c r="G90" s="83">
        <v>1938</v>
      </c>
      <c r="H90" s="83">
        <v>3016</v>
      </c>
      <c r="I90" s="83">
        <v>4544</v>
      </c>
      <c r="J90" s="83">
        <v>2284</v>
      </c>
      <c r="K90" s="83">
        <v>2765</v>
      </c>
      <c r="L90" s="83">
        <v>4073</v>
      </c>
      <c r="M90" s="83">
        <v>4868</v>
      </c>
      <c r="N90" s="83">
        <v>355</v>
      </c>
      <c r="O90" s="83">
        <v>1112</v>
      </c>
      <c r="P90" s="83">
        <v>358</v>
      </c>
      <c r="Q90" s="83">
        <v>61</v>
      </c>
      <c r="R90" s="83">
        <v>416</v>
      </c>
      <c r="S90" s="83">
        <v>290</v>
      </c>
      <c r="T90" s="83">
        <v>1734</v>
      </c>
      <c r="U90" s="83">
        <v>24930</v>
      </c>
      <c r="V90" s="83">
        <v>2396</v>
      </c>
      <c r="W90" s="83">
        <v>203</v>
      </c>
      <c r="X90" s="83">
        <v>1107</v>
      </c>
      <c r="Y90" s="83">
        <v>3191</v>
      </c>
      <c r="Z90" s="83">
        <f>Z92-Z88</f>
        <v>1330</v>
      </c>
      <c r="AA90" s="16"/>
      <c r="AB90" s="204"/>
    </row>
    <row r="91" spans="2:28" ht="15"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B91" s="204"/>
    </row>
    <row r="92" spans="2:28" ht="15.75">
      <c r="B92" s="16" t="s">
        <v>137</v>
      </c>
      <c r="C92" s="54">
        <f t="shared" ref="C92:O92" si="26">C88+C90</f>
        <v>12100</v>
      </c>
      <c r="D92" s="54">
        <f t="shared" si="26"/>
        <v>11769</v>
      </c>
      <c r="E92" s="54">
        <f t="shared" si="26"/>
        <v>6092</v>
      </c>
      <c r="F92" s="54">
        <f t="shared" si="26"/>
        <v>3437</v>
      </c>
      <c r="G92" s="54">
        <f t="shared" si="26"/>
        <v>4027</v>
      </c>
      <c r="H92" s="54">
        <f t="shared" si="26"/>
        <v>1938</v>
      </c>
      <c r="I92" s="54">
        <f t="shared" si="26"/>
        <v>3016</v>
      </c>
      <c r="J92" s="54">
        <f t="shared" si="26"/>
        <v>4544</v>
      </c>
      <c r="K92" s="54">
        <f t="shared" si="26"/>
        <v>2284</v>
      </c>
      <c r="L92" s="54">
        <f t="shared" si="26"/>
        <v>2765</v>
      </c>
      <c r="M92" s="54">
        <f t="shared" si="26"/>
        <v>4073</v>
      </c>
      <c r="N92" s="54">
        <f t="shared" si="26"/>
        <v>4868</v>
      </c>
      <c r="O92" s="54">
        <f t="shared" si="26"/>
        <v>355</v>
      </c>
      <c r="P92" s="54">
        <f t="shared" ref="P92:Y92" si="27">P88+P90</f>
        <v>1112</v>
      </c>
      <c r="Q92" s="54">
        <f t="shared" si="27"/>
        <v>358</v>
      </c>
      <c r="R92" s="54">
        <f t="shared" si="27"/>
        <v>61</v>
      </c>
      <c r="S92" s="54">
        <f t="shared" si="27"/>
        <v>412</v>
      </c>
      <c r="T92" s="54">
        <f t="shared" si="27"/>
        <v>290</v>
      </c>
      <c r="U92" s="54">
        <f t="shared" si="27"/>
        <v>1734</v>
      </c>
      <c r="V92" s="54">
        <f t="shared" si="27"/>
        <v>24932</v>
      </c>
      <c r="W92" s="54">
        <f t="shared" si="27"/>
        <v>2396</v>
      </c>
      <c r="X92" s="54">
        <f t="shared" si="27"/>
        <v>205</v>
      </c>
      <c r="Y92" s="54">
        <f t="shared" si="27"/>
        <v>1103</v>
      </c>
      <c r="Z92" s="54">
        <v>3191</v>
      </c>
      <c r="AA92" s="16"/>
      <c r="AB92" s="204"/>
    </row>
  </sheetData>
  <autoFilter ref="B1:Z1" xr:uid="{7989C698-2DB6-4A89-8E8C-F25A6D2D5D73}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EF66-966A-4A53-B601-9142C2816352}">
  <dimension ref="A1:F50"/>
  <sheetViews>
    <sheetView rightToLeft="1" workbookViewId="0"/>
  </sheetViews>
  <sheetFormatPr defaultRowHeight="14.25"/>
  <cols>
    <col min="1" max="1" width="29.25" style="81" customWidth="1"/>
  </cols>
  <sheetData>
    <row r="1" spans="1:6" ht="28.5">
      <c r="A1" s="177" t="s">
        <v>91</v>
      </c>
      <c r="B1" s="178">
        <f>2016</f>
        <v>2016</v>
      </c>
      <c r="C1" s="178">
        <f>B1-1</f>
        <v>2015</v>
      </c>
      <c r="D1" s="178">
        <f>C1-1</f>
        <v>2014</v>
      </c>
      <c r="E1" s="178">
        <f>D1-1</f>
        <v>2013</v>
      </c>
      <c r="F1" s="179">
        <f>E1-1</f>
        <v>2012</v>
      </c>
    </row>
    <row r="2" spans="1:6" ht="15" hidden="1" customHeight="1">
      <c r="A2" s="180" t="s">
        <v>28</v>
      </c>
      <c r="B2" s="184">
        <v>-9418</v>
      </c>
      <c r="C2" s="184">
        <v>8184</v>
      </c>
      <c r="D2" s="184">
        <v>6703</v>
      </c>
      <c r="E2" s="184">
        <v>6231</v>
      </c>
      <c r="F2" s="185">
        <v>78</v>
      </c>
    </row>
    <row r="3" spans="1:6" ht="14.25" hidden="1" customHeight="1">
      <c r="A3" s="200" t="s">
        <v>6</v>
      </c>
      <c r="B3" s="186">
        <v>11145</v>
      </c>
      <c r="C3" s="186">
        <v>7228</v>
      </c>
      <c r="D3" s="186">
        <v>4515</v>
      </c>
      <c r="E3" s="186">
        <v>4263</v>
      </c>
      <c r="F3" s="187">
        <v>4372</v>
      </c>
    </row>
    <row r="4" spans="1:6" ht="14.25" hidden="1" customHeight="1">
      <c r="A4" s="200" t="s">
        <v>92</v>
      </c>
      <c r="B4" s="186">
        <v>13319</v>
      </c>
      <c r="C4" s="186">
        <v>-5522</v>
      </c>
      <c r="D4" s="186">
        <v>150</v>
      </c>
      <c r="E4" s="186">
        <v>596</v>
      </c>
      <c r="F4" s="187">
        <v>7344</v>
      </c>
    </row>
    <row r="5" spans="1:6" ht="14.25" hidden="1" customHeight="1">
      <c r="A5" s="182" t="s">
        <v>93</v>
      </c>
      <c r="B5" s="188">
        <f>SUM(B3:B4)</f>
        <v>24464</v>
      </c>
      <c r="C5" s="188">
        <f>SUM(C3:C4)</f>
        <v>1706</v>
      </c>
      <c r="D5" s="188">
        <f>SUM(D3:D4)</f>
        <v>4665</v>
      </c>
      <c r="E5" s="188">
        <f>SUM(E3:E4)</f>
        <v>4859</v>
      </c>
      <c r="F5" s="189">
        <f>SUM(F3:F4)</f>
        <v>11716</v>
      </c>
    </row>
    <row r="6" spans="1:6" ht="14.25" hidden="1" customHeight="1">
      <c r="A6" s="200" t="s">
        <v>94</v>
      </c>
      <c r="B6" s="186">
        <v>-7607</v>
      </c>
      <c r="C6" s="186">
        <v>-27627</v>
      </c>
      <c r="D6" s="186">
        <v>-8462</v>
      </c>
      <c r="E6" s="186">
        <v>-3439</v>
      </c>
      <c r="F6" s="187">
        <v>6844</v>
      </c>
    </row>
    <row r="7" spans="1:6" ht="14.25" hidden="1" customHeight="1">
      <c r="A7" s="200" t="s">
        <v>95</v>
      </c>
      <c r="B7" s="186">
        <v>7488</v>
      </c>
      <c r="C7" s="186">
        <v>4433</v>
      </c>
      <c r="D7" s="186">
        <v>-5572</v>
      </c>
      <c r="E7" s="186">
        <v>8845</v>
      </c>
      <c r="F7" s="187">
        <v>41</v>
      </c>
    </row>
    <row r="8" spans="1:6" ht="14.25" hidden="1" customHeight="1">
      <c r="A8" s="200" t="s">
        <v>96</v>
      </c>
      <c r="B8" s="186">
        <v>12439</v>
      </c>
      <c r="C8" s="186">
        <v>-9340</v>
      </c>
      <c r="D8" s="186">
        <v>14696</v>
      </c>
      <c r="E8" s="186">
        <v>-2852</v>
      </c>
      <c r="F8" s="187">
        <v>1973</v>
      </c>
    </row>
    <row r="9" spans="1:6" ht="14.25" hidden="1" customHeight="1">
      <c r="A9" s="200" t="s">
        <v>97</v>
      </c>
      <c r="B9" s="186">
        <v>-1222</v>
      </c>
      <c r="C9" s="186">
        <v>-346</v>
      </c>
      <c r="D9" s="186">
        <v>1284</v>
      </c>
      <c r="E9" s="186">
        <v>183</v>
      </c>
      <c r="F9" s="187">
        <v>-564</v>
      </c>
    </row>
    <row r="10" spans="1:6" ht="14.25" hidden="1" customHeight="1">
      <c r="A10" s="182" t="s">
        <v>98</v>
      </c>
      <c r="B10" s="188">
        <f>SUM(B6:B9)</f>
        <v>11098</v>
      </c>
      <c r="C10" s="188">
        <f>SUM(C6:C9)</f>
        <v>-32880</v>
      </c>
      <c r="D10" s="188">
        <f>SUM(D6:D9)</f>
        <v>1946</v>
      </c>
      <c r="E10" s="188">
        <f>SUM(E6:E9)</f>
        <v>2737</v>
      </c>
      <c r="F10" s="189">
        <f>SUM(F6:F9)</f>
        <v>8294</v>
      </c>
    </row>
    <row r="11" spans="1:6" ht="14.25" hidden="1" customHeight="1">
      <c r="A11" s="182" t="s">
        <v>99</v>
      </c>
      <c r="B11" s="190">
        <v>0</v>
      </c>
      <c r="C11" s="190">
        <v>0</v>
      </c>
      <c r="D11" s="190">
        <v>0</v>
      </c>
      <c r="E11" s="190">
        <v>-159</v>
      </c>
      <c r="F11" s="191">
        <v>137</v>
      </c>
    </row>
    <row r="12" spans="1:6" ht="15" hidden="1" customHeight="1">
      <c r="A12" s="180" t="s">
        <v>100</v>
      </c>
      <c r="B12" s="188">
        <f>B5+B10+B11</f>
        <v>35562</v>
      </c>
      <c r="C12" s="188">
        <f>C5+C10+C11</f>
        <v>-31174</v>
      </c>
      <c r="D12" s="188">
        <f>D5+D10+D11</f>
        <v>6611</v>
      </c>
      <c r="E12" s="188">
        <f>E5+E10+E11</f>
        <v>7437</v>
      </c>
      <c r="F12" s="189">
        <f>F5+F10+F11</f>
        <v>20147</v>
      </c>
    </row>
    <row r="13" spans="1:6" ht="15" hidden="1" customHeight="1">
      <c r="A13" s="183" t="s">
        <v>101</v>
      </c>
      <c r="B13" s="192">
        <f>B12+B2</f>
        <v>26144</v>
      </c>
      <c r="C13" s="192">
        <f>C12+C2</f>
        <v>-22990</v>
      </c>
      <c r="D13" s="192">
        <f>D12+D2</f>
        <v>13314</v>
      </c>
      <c r="E13" s="192">
        <f>E12+E2</f>
        <v>13668</v>
      </c>
      <c r="F13" s="193">
        <f>F12+F2</f>
        <v>20225</v>
      </c>
    </row>
    <row r="14" spans="1:6" ht="14.25" hidden="1" customHeight="1">
      <c r="A14" s="200" t="s">
        <v>102</v>
      </c>
      <c r="B14" s="186">
        <v>0</v>
      </c>
      <c r="C14" s="186">
        <v>0</v>
      </c>
      <c r="D14" s="186">
        <v>0</v>
      </c>
      <c r="E14" s="186">
        <v>0</v>
      </c>
      <c r="F14" s="187">
        <v>0</v>
      </c>
    </row>
    <row r="15" spans="1:6" ht="14.25" hidden="1" customHeight="1">
      <c r="A15" s="200" t="s">
        <v>103</v>
      </c>
      <c r="B15" s="186">
        <v>0</v>
      </c>
      <c r="C15" s="186">
        <v>0</v>
      </c>
      <c r="D15" s="186">
        <v>0</v>
      </c>
      <c r="E15" s="186">
        <v>0</v>
      </c>
      <c r="F15" s="187">
        <v>0</v>
      </c>
    </row>
    <row r="16" spans="1:6" ht="14.25" hidden="1" customHeight="1">
      <c r="A16" s="182" t="s">
        <v>104</v>
      </c>
      <c r="B16" s="188">
        <f>SUM(B14:B15)</f>
        <v>0</v>
      </c>
      <c r="C16" s="188">
        <f>SUM(C14:C15)</f>
        <v>0</v>
      </c>
      <c r="D16" s="188">
        <f>SUM(D14:D15)</f>
        <v>0</v>
      </c>
      <c r="E16" s="188">
        <f>SUM(E14:E15)</f>
        <v>0</v>
      </c>
      <c r="F16" s="189">
        <f>SUM(F14:F15)</f>
        <v>0</v>
      </c>
    </row>
    <row r="17" spans="1:6" ht="14.25" hidden="1" customHeight="1">
      <c r="A17" s="200" t="s">
        <v>105</v>
      </c>
      <c r="B17" s="186">
        <v>-283</v>
      </c>
      <c r="C17" s="186">
        <v>0</v>
      </c>
      <c r="D17" s="186">
        <v>0</v>
      </c>
      <c r="E17" s="186">
        <v>0</v>
      </c>
      <c r="F17" s="187">
        <v>0</v>
      </c>
    </row>
    <row r="18" spans="1:6" ht="14.25" hidden="1" customHeight="1">
      <c r="A18" s="200" t="s">
        <v>106</v>
      </c>
      <c r="B18" s="186">
        <v>0</v>
      </c>
      <c r="C18" s="186">
        <v>112</v>
      </c>
      <c r="D18" s="186">
        <v>0</v>
      </c>
      <c r="E18" s="186">
        <v>0</v>
      </c>
      <c r="F18" s="187">
        <v>0</v>
      </c>
    </row>
    <row r="19" spans="1:6" ht="14.25" hidden="1" customHeight="1">
      <c r="A19" s="182" t="s">
        <v>107</v>
      </c>
      <c r="B19" s="188">
        <f>SUM(B17:B18)</f>
        <v>-283</v>
      </c>
      <c r="C19" s="188">
        <f>SUM(C17:C18)</f>
        <v>112</v>
      </c>
      <c r="D19" s="188">
        <f>SUM(D17:D18)</f>
        <v>0</v>
      </c>
      <c r="E19" s="188">
        <f>SUM(E17:E18)</f>
        <v>0</v>
      </c>
      <c r="F19" s="189">
        <f>SUM(F17:F18)</f>
        <v>0</v>
      </c>
    </row>
    <row r="20" spans="1:6" ht="14.25" hidden="1" customHeight="1">
      <c r="A20" s="200" t="s">
        <v>108</v>
      </c>
      <c r="B20" s="186">
        <v>-286</v>
      </c>
      <c r="C20" s="186">
        <v>0</v>
      </c>
      <c r="D20" s="186">
        <v>0</v>
      </c>
      <c r="E20" s="186">
        <v>0</v>
      </c>
      <c r="F20" s="187">
        <v>0</v>
      </c>
    </row>
    <row r="21" spans="1:6" ht="14.25" hidden="1" customHeight="1">
      <c r="A21" s="200" t="s">
        <v>109</v>
      </c>
      <c r="B21" s="186">
        <v>0</v>
      </c>
      <c r="C21" s="186">
        <v>0</v>
      </c>
      <c r="D21" s="186">
        <v>0</v>
      </c>
      <c r="E21" s="186">
        <v>0</v>
      </c>
      <c r="F21" s="187">
        <v>0</v>
      </c>
    </row>
    <row r="22" spans="1:6" ht="14.25" hidden="1" customHeight="1">
      <c r="A22" s="182" t="s">
        <v>110</v>
      </c>
      <c r="B22" s="188">
        <f>SUM(B20:B21)</f>
        <v>-286</v>
      </c>
      <c r="C22" s="188">
        <f>SUM(C20:C21)</f>
        <v>0</v>
      </c>
      <c r="D22" s="188">
        <f>SUM(D20:D21)</f>
        <v>0</v>
      </c>
      <c r="E22" s="188">
        <f>SUM(E20:E21)</f>
        <v>0</v>
      </c>
      <c r="F22" s="189">
        <f>SUM(F20:F21)</f>
        <v>0</v>
      </c>
    </row>
    <row r="23" spans="1:6" ht="15" hidden="1" customHeight="1">
      <c r="A23" s="180" t="s">
        <v>111</v>
      </c>
      <c r="B23" s="192">
        <f>B22+B19+B16</f>
        <v>-569</v>
      </c>
      <c r="C23" s="192">
        <f>C22+C19+C16</f>
        <v>112</v>
      </c>
      <c r="D23" s="192">
        <f>D22+D19+D16</f>
        <v>0</v>
      </c>
      <c r="E23" s="192">
        <f>E22+E19+E16</f>
        <v>0</v>
      </c>
      <c r="F23" s="193">
        <f>F22+F19+F16</f>
        <v>0</v>
      </c>
    </row>
    <row r="24" spans="1:6" ht="14.25" hidden="1" customHeight="1">
      <c r="A24" s="200" t="s">
        <v>112</v>
      </c>
      <c r="B24" s="186">
        <v>-5501</v>
      </c>
      <c r="C24" s="186">
        <v>-5377</v>
      </c>
      <c r="D24" s="186">
        <v>-6425</v>
      </c>
      <c r="E24" s="186">
        <v>-2379</v>
      </c>
      <c r="F24" s="187">
        <v>-1154</v>
      </c>
    </row>
    <row r="25" spans="1:6" ht="14.25" hidden="1" customHeight="1">
      <c r="A25" s="200" t="s">
        <v>113</v>
      </c>
      <c r="B25" s="186">
        <v>447</v>
      </c>
      <c r="C25" s="186">
        <v>10</v>
      </c>
      <c r="D25" s="186">
        <v>7</v>
      </c>
      <c r="E25" s="186">
        <v>195</v>
      </c>
      <c r="F25" s="187">
        <v>172</v>
      </c>
    </row>
    <row r="26" spans="1:6" ht="14.25" hidden="1" customHeight="1">
      <c r="A26" s="182" t="s">
        <v>114</v>
      </c>
      <c r="B26" s="188">
        <f>SUM(B24:B25)</f>
        <v>-5054</v>
      </c>
      <c r="C26" s="188">
        <f>SUM(C24:C25)</f>
        <v>-5367</v>
      </c>
      <c r="D26" s="188">
        <f>SUM(D24:D25)</f>
        <v>-6418</v>
      </c>
      <c r="E26" s="188">
        <f>SUM(E24:E25)</f>
        <v>-2184</v>
      </c>
      <c r="F26" s="189">
        <f>SUM(F24:F25)</f>
        <v>-982</v>
      </c>
    </row>
    <row r="27" spans="1:6" ht="14.25" hidden="1" customHeight="1">
      <c r="A27" s="200" t="s">
        <v>115</v>
      </c>
      <c r="B27" s="186">
        <v>0</v>
      </c>
      <c r="C27" s="186">
        <v>-4347</v>
      </c>
      <c r="D27" s="186">
        <v>0</v>
      </c>
      <c r="E27" s="186">
        <v>0</v>
      </c>
      <c r="F27" s="187">
        <v>0</v>
      </c>
    </row>
    <row r="28" spans="1:6" ht="14.25" hidden="1" customHeight="1">
      <c r="A28" s="200" t="s">
        <v>116</v>
      </c>
      <c r="B28" s="186">
        <v>0</v>
      </c>
      <c r="C28" s="186">
        <v>0</v>
      </c>
      <c r="D28" s="186">
        <v>0</v>
      </c>
      <c r="E28" s="186">
        <v>0</v>
      </c>
      <c r="F28" s="187">
        <v>0</v>
      </c>
    </row>
    <row r="29" spans="1:6" ht="14.25" hidden="1" customHeight="1">
      <c r="A29" s="182" t="s">
        <v>117</v>
      </c>
      <c r="B29" s="188">
        <f>SUM(B27:B28)</f>
        <v>0</v>
      </c>
      <c r="C29" s="188">
        <f>SUM(C27:C28)</f>
        <v>-4347</v>
      </c>
      <c r="D29" s="188">
        <f>SUM(D27:D28)</f>
        <v>0</v>
      </c>
      <c r="E29" s="188">
        <f>SUM(E27:E28)</f>
        <v>0</v>
      </c>
      <c r="F29" s="189">
        <f>SUM(F27:F28)</f>
        <v>0</v>
      </c>
    </row>
    <row r="30" spans="1:6" ht="15" hidden="1" customHeight="1">
      <c r="A30" s="180" t="s">
        <v>118</v>
      </c>
      <c r="B30" s="192">
        <f>B29+B26</f>
        <v>-5054</v>
      </c>
      <c r="C30" s="192"/>
      <c r="D30" s="192"/>
      <c r="E30" s="192"/>
      <c r="F30" s="193"/>
    </row>
    <row r="31" spans="1:6" ht="15" hidden="1" customHeight="1">
      <c r="A31" s="180" t="s">
        <v>119</v>
      </c>
      <c r="B31" s="184">
        <v>0</v>
      </c>
      <c r="C31" s="184">
        <v>0</v>
      </c>
      <c r="D31" s="184">
        <v>-8</v>
      </c>
      <c r="E31" s="184">
        <v>0</v>
      </c>
      <c r="F31" s="185">
        <v>-125</v>
      </c>
    </row>
    <row r="32" spans="1:6" ht="15" hidden="1" customHeight="1">
      <c r="A32" s="183" t="s">
        <v>120</v>
      </c>
      <c r="B32" s="192">
        <f>B31+B29+B26+B23</f>
        <v>-5623</v>
      </c>
      <c r="C32" s="192">
        <f>C31+C29+C26+C23</f>
        <v>-9602</v>
      </c>
      <c r="D32" s="192">
        <f>D31+D29+D26+D23</f>
        <v>-6426</v>
      </c>
      <c r="E32" s="192">
        <f>E31+E29+E26+E23</f>
        <v>-2184</v>
      </c>
      <c r="F32" s="193">
        <f>F31+F29+F26+F23</f>
        <v>-1107</v>
      </c>
    </row>
    <row r="33" spans="1:6" ht="15">
      <c r="A33" s="182" t="s">
        <v>121</v>
      </c>
      <c r="B33" s="190">
        <v>0</v>
      </c>
      <c r="C33" s="184">
        <v>0</v>
      </c>
      <c r="D33" s="184">
        <v>0</v>
      </c>
      <c r="E33" s="184">
        <v>0</v>
      </c>
      <c r="F33" s="185">
        <v>0</v>
      </c>
    </row>
    <row r="34" spans="1:6">
      <c r="A34" s="200" t="s">
        <v>122</v>
      </c>
      <c r="B34" s="186">
        <v>0</v>
      </c>
      <c r="C34" s="186">
        <v>77333</v>
      </c>
      <c r="D34" s="186">
        <v>5496</v>
      </c>
      <c r="E34" s="186">
        <v>13921</v>
      </c>
      <c r="F34" s="187">
        <v>1000</v>
      </c>
    </row>
    <row r="35" spans="1:6">
      <c r="A35" s="200" t="s">
        <v>123</v>
      </c>
      <c r="B35" s="186">
        <v>-7800</v>
      </c>
      <c r="C35" s="186">
        <v>-30828</v>
      </c>
      <c r="D35" s="186">
        <v>-7218</v>
      </c>
      <c r="E35" s="186">
        <v>-5264</v>
      </c>
      <c r="F35" s="187">
        <v>-5192</v>
      </c>
    </row>
    <row r="36" spans="1:6">
      <c r="A36" s="182" t="s">
        <v>124</v>
      </c>
      <c r="B36" s="188">
        <f>SUM(B34:B35)</f>
        <v>-7800</v>
      </c>
      <c r="C36" s="188">
        <f>SUM(C34:C35)</f>
        <v>46505</v>
      </c>
      <c r="D36" s="188">
        <f>SUM(D34:D35)</f>
        <v>-1722</v>
      </c>
      <c r="E36" s="188">
        <f>SUM(E34:E35)</f>
        <v>8657</v>
      </c>
      <c r="F36" s="189">
        <f>SUM(F34:F35)</f>
        <v>-4192</v>
      </c>
    </row>
    <row r="37" spans="1:6" ht="15">
      <c r="A37" s="180" t="s">
        <v>125</v>
      </c>
      <c r="B37" s="192">
        <f>B36+B33</f>
        <v>-7800</v>
      </c>
      <c r="C37" s="192">
        <f>C36+C33</f>
        <v>46505</v>
      </c>
      <c r="D37" s="192">
        <f>D36+D33</f>
        <v>-1722</v>
      </c>
      <c r="E37" s="192">
        <f>E36+E33</f>
        <v>8657</v>
      </c>
      <c r="F37" s="193">
        <f>F36+F33</f>
        <v>-4192</v>
      </c>
    </row>
    <row r="38" spans="1:6">
      <c r="A38" s="200" t="s">
        <v>127</v>
      </c>
      <c r="B38" s="186">
        <v>0</v>
      </c>
      <c r="C38" s="186">
        <v>7900</v>
      </c>
      <c r="D38" s="186">
        <v>4900</v>
      </c>
      <c r="E38" s="186" t="s">
        <v>209</v>
      </c>
      <c r="F38" s="187" t="s">
        <v>209</v>
      </c>
    </row>
    <row r="39" spans="1:6">
      <c r="A39" s="200" t="s">
        <v>128</v>
      </c>
      <c r="B39" s="186">
        <v>-3996</v>
      </c>
      <c r="C39" s="186">
        <v>-6471</v>
      </c>
      <c r="D39" s="186">
        <v>-3793</v>
      </c>
      <c r="E39" s="188">
        <v>-12860</v>
      </c>
      <c r="F39" s="189">
        <v>-3580</v>
      </c>
    </row>
    <row r="40" spans="1:6">
      <c r="A40" s="182" t="s">
        <v>129</v>
      </c>
      <c r="B40" s="188">
        <f>SUM(B38:B39)</f>
        <v>-3996</v>
      </c>
      <c r="C40" s="188">
        <f>SUM(C38:C39)</f>
        <v>1429</v>
      </c>
      <c r="D40" s="188">
        <f>SUM(D38:D39)</f>
        <v>1107</v>
      </c>
      <c r="E40" s="188">
        <v>-12860</v>
      </c>
      <c r="F40" s="189">
        <v>-3580</v>
      </c>
    </row>
    <row r="41" spans="1:6">
      <c r="A41" s="200" t="s">
        <v>130</v>
      </c>
      <c r="B41" s="186">
        <v>0</v>
      </c>
      <c r="C41" s="186">
        <v>0</v>
      </c>
      <c r="D41" s="186">
        <v>1800</v>
      </c>
      <c r="E41" s="186">
        <v>1000</v>
      </c>
      <c r="F41" s="187">
        <v>93</v>
      </c>
    </row>
    <row r="42" spans="1:6">
      <c r="A42" s="200" t="s">
        <v>131</v>
      </c>
      <c r="B42" s="186">
        <v>-3284</v>
      </c>
      <c r="C42" s="186">
        <v>-6243</v>
      </c>
      <c r="D42" s="186">
        <v>-1374</v>
      </c>
      <c r="E42" s="186">
        <v>-3704</v>
      </c>
      <c r="F42" s="187">
        <v>-3294</v>
      </c>
    </row>
    <row r="43" spans="1:6" ht="15">
      <c r="A43" s="180" t="s">
        <v>132</v>
      </c>
      <c r="B43" s="188">
        <f>SUM(B41:B42)</f>
        <v>-3284</v>
      </c>
      <c r="C43" s="188">
        <f>SUM(C41:C42)</f>
        <v>-6243</v>
      </c>
      <c r="D43" s="188">
        <f>SUM(D41:D42)</f>
        <v>426</v>
      </c>
      <c r="E43" s="188">
        <f>SUM(E41:E42)</f>
        <v>-2704</v>
      </c>
      <c r="F43" s="189">
        <f>SUM(F41:F42)</f>
        <v>-3201</v>
      </c>
    </row>
    <row r="44" spans="1:6" ht="15">
      <c r="A44" s="180" t="s">
        <v>126</v>
      </c>
      <c r="B44" s="192">
        <f>B43+B40</f>
        <v>-7280</v>
      </c>
      <c r="C44" s="192">
        <f>C43+C40</f>
        <v>-4814</v>
      </c>
      <c r="D44" s="192">
        <f>D43+D40</f>
        <v>1533</v>
      </c>
      <c r="E44" s="192">
        <f>E43+E40</f>
        <v>-15564</v>
      </c>
      <c r="F44" s="193">
        <f>F43+F40</f>
        <v>-6781</v>
      </c>
    </row>
    <row r="45" spans="1:6" ht="15">
      <c r="A45" s="180" t="s">
        <v>133</v>
      </c>
      <c r="B45" s="184">
        <v>-5110</v>
      </c>
      <c r="C45" s="184">
        <v>-3422</v>
      </c>
      <c r="D45" s="184">
        <v>-4044</v>
      </c>
      <c r="E45" s="184">
        <v>-5167</v>
      </c>
      <c r="F45" s="185">
        <v>-6056</v>
      </c>
    </row>
    <row r="46" spans="1:6" ht="15">
      <c r="A46" s="180" t="s">
        <v>161</v>
      </c>
      <c r="B46" s="192">
        <f>B33+B36+B40+B43+B45</f>
        <v>-20190</v>
      </c>
      <c r="C46" s="192">
        <f>C33+C36+C40+C43+C45</f>
        <v>38269</v>
      </c>
      <c r="D46" s="192">
        <f>D33+D36+D40+D43+D45</f>
        <v>-4233</v>
      </c>
      <c r="E46" s="192">
        <f>E33+E36+E40+E43+E45</f>
        <v>-12074</v>
      </c>
      <c r="F46" s="193">
        <f>F33+F36+F40+F43+F45</f>
        <v>-17029</v>
      </c>
    </row>
    <row r="47" spans="1:6" ht="15">
      <c r="A47" s="180" t="s">
        <v>134</v>
      </c>
      <c r="B47" s="184">
        <v>0</v>
      </c>
      <c r="C47" s="184">
        <v>0</v>
      </c>
      <c r="D47" s="184">
        <v>0</v>
      </c>
      <c r="E47" s="184">
        <v>0</v>
      </c>
      <c r="F47" s="185">
        <v>0</v>
      </c>
    </row>
    <row r="48" spans="1:6" ht="15.75">
      <c r="A48" s="181" t="s">
        <v>135</v>
      </c>
      <c r="B48" s="194">
        <f>B47+B46+B32+B13</f>
        <v>331</v>
      </c>
      <c r="C48" s="194">
        <f>C47+C46+C32+C13</f>
        <v>5677</v>
      </c>
      <c r="D48" s="194">
        <f>D47+D46+D32+D13</f>
        <v>2655</v>
      </c>
      <c r="E48" s="194">
        <f>E47+E46+E32+E13</f>
        <v>-590</v>
      </c>
      <c r="F48" s="195">
        <f>F47+F46+F32+F13</f>
        <v>2089</v>
      </c>
    </row>
    <row r="49" spans="1:6" ht="15.75">
      <c r="A49" s="181" t="s">
        <v>136</v>
      </c>
      <c r="B49" s="196">
        <v>11769</v>
      </c>
      <c r="C49" s="196">
        <v>6092</v>
      </c>
      <c r="D49" s="196">
        <v>3437</v>
      </c>
      <c r="E49" s="196">
        <v>4027</v>
      </c>
      <c r="F49" s="197">
        <v>1938</v>
      </c>
    </row>
    <row r="50" spans="1:6" ht="15.75">
      <c r="A50" s="201" t="s">
        <v>137</v>
      </c>
      <c r="B50" s="198">
        <f>B48+B49</f>
        <v>12100</v>
      </c>
      <c r="C50" s="198">
        <f>C48+C49</f>
        <v>11769</v>
      </c>
      <c r="D50" s="198">
        <f>D48+D49</f>
        <v>6092</v>
      </c>
      <c r="E50" s="198">
        <f>E48+E49</f>
        <v>3437</v>
      </c>
      <c r="F50" s="199">
        <f>F48+F49</f>
        <v>4027</v>
      </c>
    </row>
  </sheetData>
  <pageMargins left="0.7" right="0.7" top="0.75" bottom="0.75" header="0.3" footer="0.3"/>
  <ignoredErrors>
    <ignoredError sqref="A1:F37 A40:F43 A38:D38 A39:D39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D7FC-4619-41A0-9C57-742DA6168E9A}">
  <dimension ref="A1:O113"/>
  <sheetViews>
    <sheetView rightToLeft="1" zoomScale="85" zoomScaleNormal="85" workbookViewId="0"/>
  </sheetViews>
  <sheetFormatPr defaultRowHeight="14.25"/>
  <cols>
    <col min="1" max="1" width="25.375" style="86" customWidth="1"/>
    <col min="2" max="2" width="10" style="86" customWidth="1"/>
    <col min="3" max="4" width="8.125" style="86" bestFit="1" customWidth="1"/>
    <col min="5" max="7" width="7.125" style="86" bestFit="1" customWidth="1"/>
    <col min="8" max="12" width="8.125" style="86" bestFit="1" customWidth="1"/>
    <col min="13" max="13" width="7.125" style="86" bestFit="1" customWidth="1"/>
    <col min="14" max="16384" width="9" style="86"/>
  </cols>
  <sheetData>
    <row r="1" spans="1:13" s="206" customFormat="1" ht="15.75">
      <c r="A1" s="205" t="s">
        <v>164</v>
      </c>
      <c r="B1" s="205" t="s">
        <v>200</v>
      </c>
      <c r="C1" s="205">
        <v>2016</v>
      </c>
      <c r="D1" s="205">
        <f t="shared" ref="D1:M1" si="0">C1-1</f>
        <v>2015</v>
      </c>
      <c r="E1" s="205">
        <f t="shared" si="0"/>
        <v>2014</v>
      </c>
      <c r="F1" s="205">
        <f t="shared" si="0"/>
        <v>2013</v>
      </c>
      <c r="G1" s="205">
        <f t="shared" si="0"/>
        <v>2012</v>
      </c>
      <c r="H1" s="205">
        <f t="shared" si="0"/>
        <v>2011</v>
      </c>
      <c r="I1" s="205">
        <f t="shared" si="0"/>
        <v>2010</v>
      </c>
      <c r="J1" s="205">
        <f t="shared" si="0"/>
        <v>2009</v>
      </c>
      <c r="K1" s="205">
        <f t="shared" si="0"/>
        <v>2008</v>
      </c>
      <c r="L1" s="205">
        <f t="shared" si="0"/>
        <v>2007</v>
      </c>
      <c r="M1" s="205">
        <f t="shared" si="0"/>
        <v>2006</v>
      </c>
    </row>
    <row r="2" spans="1:13" ht="15.75">
      <c r="A2" s="88" t="s">
        <v>163</v>
      </c>
      <c r="B2" s="89">
        <v>139157</v>
      </c>
      <c r="C2" s="89">
        <v>139868</v>
      </c>
      <c r="D2" s="89">
        <v>139760</v>
      </c>
      <c r="E2" s="89">
        <v>97693</v>
      </c>
      <c r="F2" s="89">
        <v>81388</v>
      </c>
      <c r="G2" s="89">
        <v>87374</v>
      </c>
      <c r="H2" s="89">
        <v>91904</v>
      </c>
      <c r="I2" s="89">
        <v>81827</v>
      </c>
      <c r="J2" s="89">
        <v>98411</v>
      </c>
      <c r="K2" s="89">
        <v>154509</v>
      </c>
      <c r="L2" s="89">
        <v>162177</v>
      </c>
      <c r="M2" s="89">
        <v>84235</v>
      </c>
    </row>
    <row r="3" spans="1:13" ht="15.75">
      <c r="A3" s="88" t="s">
        <v>58</v>
      </c>
      <c r="B3" s="89">
        <v>93241</v>
      </c>
      <c r="C3" s="89">
        <v>85087</v>
      </c>
      <c r="D3" s="89">
        <v>77853</v>
      </c>
      <c r="E3" s="89">
        <v>83215</v>
      </c>
      <c r="F3" s="89">
        <v>69066</v>
      </c>
      <c r="G3" s="89">
        <v>89469</v>
      </c>
      <c r="H3" s="89">
        <v>92822</v>
      </c>
      <c r="I3" s="89">
        <v>82619</v>
      </c>
      <c r="J3" s="89">
        <v>89381</v>
      </c>
      <c r="K3" s="89">
        <v>144661</v>
      </c>
      <c r="L3" s="89">
        <v>123005</v>
      </c>
      <c r="M3" s="89">
        <v>31833</v>
      </c>
    </row>
    <row r="4" spans="1:13" ht="15.75">
      <c r="A4" s="90" t="s">
        <v>140</v>
      </c>
      <c r="B4" s="91">
        <f>B2/B3</f>
        <v>1.4924443109790757</v>
      </c>
      <c r="C4" s="91">
        <f>C2/C3</f>
        <v>1.6438233807749716</v>
      </c>
      <c r="D4" s="91">
        <f t="shared" ref="D4:M4" si="1">D2/D3</f>
        <v>1.7951780920452647</v>
      </c>
      <c r="E4" s="91">
        <f t="shared" si="1"/>
        <v>1.173983055939434</v>
      </c>
      <c r="F4" s="91">
        <f t="shared" si="1"/>
        <v>1.1784090580024904</v>
      </c>
      <c r="G4" s="91">
        <f t="shared" si="1"/>
        <v>0.97658406822474819</v>
      </c>
      <c r="H4" s="91">
        <f t="shared" si="1"/>
        <v>0.99011010320829118</v>
      </c>
      <c r="I4" s="91">
        <f t="shared" si="1"/>
        <v>0.99041382732785432</v>
      </c>
      <c r="J4" s="91">
        <f t="shared" si="1"/>
        <v>1.1010281827233976</v>
      </c>
      <c r="K4" s="91">
        <f t="shared" si="1"/>
        <v>1.0680763993059637</v>
      </c>
      <c r="L4" s="91">
        <f t="shared" si="1"/>
        <v>1.3184585992439333</v>
      </c>
      <c r="M4" s="91">
        <f t="shared" si="1"/>
        <v>2.6461533628624383</v>
      </c>
    </row>
    <row r="5" spans="1:13" ht="15.75">
      <c r="A5" s="88" t="s">
        <v>163</v>
      </c>
      <c r="B5" s="89">
        <v>139157</v>
      </c>
      <c r="C5" s="89">
        <v>139868</v>
      </c>
      <c r="D5" s="89">
        <v>139760</v>
      </c>
      <c r="E5" s="89">
        <v>97693</v>
      </c>
      <c r="F5" s="89">
        <v>81388</v>
      </c>
      <c r="G5" s="89">
        <v>87374</v>
      </c>
      <c r="H5" s="89">
        <v>91904</v>
      </c>
      <c r="I5" s="89">
        <v>81827</v>
      </c>
      <c r="J5" s="89">
        <v>98411</v>
      </c>
      <c r="K5" s="89">
        <v>154509</v>
      </c>
      <c r="L5" s="89">
        <v>162177</v>
      </c>
      <c r="M5" s="89">
        <v>84235</v>
      </c>
    </row>
    <row r="6" spans="1:13" ht="15.75">
      <c r="A6" s="88" t="s">
        <v>42</v>
      </c>
      <c r="B6" s="92">
        <v>23554</v>
      </c>
      <c r="C6" s="92">
        <v>16184</v>
      </c>
      <c r="D6" s="92">
        <v>23672</v>
      </c>
      <c r="E6" s="92">
        <v>28105</v>
      </c>
      <c r="F6" s="92">
        <v>22533</v>
      </c>
      <c r="G6" s="92">
        <v>31378</v>
      </c>
      <c r="H6" s="92">
        <v>31419</v>
      </c>
      <c r="I6" s="92">
        <v>35784</v>
      </c>
      <c r="J6" s="92">
        <v>42727</v>
      </c>
      <c r="K6" s="92">
        <v>62077</v>
      </c>
      <c r="L6" s="92">
        <v>65996</v>
      </c>
      <c r="M6" s="92">
        <v>34296</v>
      </c>
    </row>
    <row r="7" spans="1:13" ht="15.75">
      <c r="A7" s="88" t="s">
        <v>58</v>
      </c>
      <c r="B7" s="89">
        <v>93241</v>
      </c>
      <c r="C7" s="89">
        <v>85087</v>
      </c>
      <c r="D7" s="89">
        <v>77853</v>
      </c>
      <c r="E7" s="89">
        <v>83215</v>
      </c>
      <c r="F7" s="89">
        <v>69066</v>
      </c>
      <c r="G7" s="89">
        <v>89469</v>
      </c>
      <c r="H7" s="89">
        <v>92822</v>
      </c>
      <c r="I7" s="89">
        <v>82619</v>
      </c>
      <c r="J7" s="89">
        <v>89381</v>
      </c>
      <c r="K7" s="89">
        <v>144661</v>
      </c>
      <c r="L7" s="89">
        <v>123005</v>
      </c>
      <c r="M7" s="89">
        <v>31833</v>
      </c>
    </row>
    <row r="8" spans="1:13" ht="15.75">
      <c r="A8" s="90" t="s">
        <v>139</v>
      </c>
      <c r="B8" s="91">
        <f>(B5-B6)/B7</f>
        <v>1.2398301176521058</v>
      </c>
      <c r="C8" s="91">
        <f>(C5-C6)/C7</f>
        <v>1.4536180615135097</v>
      </c>
      <c r="D8" s="91">
        <f t="shared" ref="D8:M8" si="2">(D5-D6)/D7</f>
        <v>1.4911178759970714</v>
      </c>
      <c r="E8" s="91">
        <f t="shared" si="2"/>
        <v>0.83624346572132424</v>
      </c>
      <c r="F8" s="91">
        <f t="shared" si="2"/>
        <v>0.85215590884081893</v>
      </c>
      <c r="G8" s="91">
        <f t="shared" si="2"/>
        <v>0.62587041321575065</v>
      </c>
      <c r="H8" s="91">
        <f t="shared" si="2"/>
        <v>0.65162353752343194</v>
      </c>
      <c r="I8" s="91">
        <f t="shared" si="2"/>
        <v>0.55729311659545622</v>
      </c>
      <c r="J8" s="91">
        <f t="shared" si="2"/>
        <v>0.62299593873418291</v>
      </c>
      <c r="K8" s="91">
        <f t="shared" si="2"/>
        <v>0.63895590380268352</v>
      </c>
      <c r="L8" s="91">
        <f t="shared" si="2"/>
        <v>0.78192756392016582</v>
      </c>
      <c r="M8" s="91">
        <f t="shared" si="2"/>
        <v>1.5687808249301041</v>
      </c>
    </row>
    <row r="9" spans="1:13" ht="15.75">
      <c r="A9" s="88" t="s">
        <v>37</v>
      </c>
      <c r="B9" s="93">
        <v>12247</v>
      </c>
      <c r="C9" s="93">
        <v>12100</v>
      </c>
      <c r="D9" s="93">
        <v>11769</v>
      </c>
      <c r="E9" s="93">
        <v>6092</v>
      </c>
      <c r="F9" s="93">
        <v>3437</v>
      </c>
      <c r="G9" s="93">
        <v>4027</v>
      </c>
      <c r="H9" s="93">
        <v>1938</v>
      </c>
      <c r="I9" s="93">
        <v>3016</v>
      </c>
      <c r="J9" s="93">
        <v>4544</v>
      </c>
      <c r="K9" s="93">
        <v>2284</v>
      </c>
      <c r="L9" s="93">
        <v>2765</v>
      </c>
      <c r="M9" s="93">
        <v>4073</v>
      </c>
    </row>
    <row r="10" spans="1:13" ht="15.75">
      <c r="A10" s="88" t="s">
        <v>58</v>
      </c>
      <c r="B10" s="89">
        <v>93241</v>
      </c>
      <c r="C10" s="89">
        <v>85087</v>
      </c>
      <c r="D10" s="89">
        <v>77853</v>
      </c>
      <c r="E10" s="89">
        <v>83215</v>
      </c>
      <c r="F10" s="89">
        <v>69066</v>
      </c>
      <c r="G10" s="89">
        <v>89469</v>
      </c>
      <c r="H10" s="89">
        <v>92822</v>
      </c>
      <c r="I10" s="89">
        <v>82619</v>
      </c>
      <c r="J10" s="89">
        <v>89381</v>
      </c>
      <c r="K10" s="89">
        <v>144661</v>
      </c>
      <c r="L10" s="89">
        <v>123005</v>
      </c>
      <c r="M10" s="89">
        <v>31833</v>
      </c>
    </row>
    <row r="11" spans="1:13" ht="15.75">
      <c r="A11" s="90" t="s">
        <v>162</v>
      </c>
      <c r="B11" s="91">
        <f>B9/B10</f>
        <v>0.13134779764266794</v>
      </c>
      <c r="C11" s="91">
        <f>C9/C10</f>
        <v>0.14220738773255609</v>
      </c>
      <c r="D11" s="91">
        <f t="shared" ref="D11:M11" si="3">D9/D10</f>
        <v>0.15116951177218604</v>
      </c>
      <c r="E11" s="91">
        <f t="shared" si="3"/>
        <v>7.3207955296521063E-2</v>
      </c>
      <c r="F11" s="91">
        <f t="shared" si="3"/>
        <v>4.9763993860944607E-2</v>
      </c>
      <c r="G11" s="91">
        <f t="shared" si="3"/>
        <v>4.5010003464887281E-2</v>
      </c>
      <c r="H11" s="91">
        <f t="shared" si="3"/>
        <v>2.0878671004718709E-2</v>
      </c>
      <c r="I11" s="91">
        <f t="shared" si="3"/>
        <v>3.6504920175746497E-2</v>
      </c>
      <c r="J11" s="91">
        <f t="shared" si="3"/>
        <v>5.0838545104664304E-2</v>
      </c>
      <c r="K11" s="91">
        <f t="shared" si="3"/>
        <v>1.5788636882089851E-2</v>
      </c>
      <c r="L11" s="91">
        <f t="shared" si="3"/>
        <v>2.2478761025974552E-2</v>
      </c>
      <c r="M11" s="91">
        <f t="shared" si="3"/>
        <v>0.12794898375899225</v>
      </c>
    </row>
    <row r="13" spans="1:13" ht="15.75">
      <c r="A13" s="87" t="s">
        <v>144</v>
      </c>
      <c r="B13" s="87" t="s">
        <v>200</v>
      </c>
      <c r="C13" s="87">
        <v>2016</v>
      </c>
      <c r="D13" s="87">
        <f t="shared" ref="D13:M13" si="4">C13-1</f>
        <v>2015</v>
      </c>
      <c r="E13" s="87">
        <f t="shared" si="4"/>
        <v>2014</v>
      </c>
      <c r="F13" s="87">
        <f t="shared" si="4"/>
        <v>2013</v>
      </c>
      <c r="G13" s="87">
        <f t="shared" si="4"/>
        <v>2012</v>
      </c>
      <c r="H13" s="87">
        <f t="shared" si="4"/>
        <v>2011</v>
      </c>
      <c r="I13" s="87">
        <f t="shared" si="4"/>
        <v>2010</v>
      </c>
      <c r="J13" s="87">
        <f t="shared" si="4"/>
        <v>2009</v>
      </c>
      <c r="K13" s="87">
        <f t="shared" si="4"/>
        <v>2008</v>
      </c>
      <c r="L13" s="87">
        <f t="shared" si="4"/>
        <v>2007</v>
      </c>
      <c r="M13" s="87">
        <f t="shared" si="4"/>
        <v>2006</v>
      </c>
    </row>
    <row r="14" spans="1:13" ht="15.75">
      <c r="A14" s="88" t="s">
        <v>169</v>
      </c>
      <c r="B14" s="93">
        <v>24109</v>
      </c>
      <c r="C14" s="93">
        <v>26144</v>
      </c>
      <c r="D14" s="93">
        <v>-22990</v>
      </c>
      <c r="E14" s="93">
        <v>13314</v>
      </c>
      <c r="F14" s="93">
        <v>13668</v>
      </c>
      <c r="G14" s="93">
        <v>20225</v>
      </c>
      <c r="H14" s="93">
        <v>4541</v>
      </c>
      <c r="I14" s="93">
        <v>6948</v>
      </c>
      <c r="J14" s="93">
        <v>25382</v>
      </c>
      <c r="K14" s="93">
        <v>-6750</v>
      </c>
      <c r="L14" s="93">
        <v>1130</v>
      </c>
      <c r="M14" s="93">
        <v>15826</v>
      </c>
    </row>
    <row r="15" spans="1:13" ht="15.75">
      <c r="A15" s="88" t="s">
        <v>170</v>
      </c>
      <c r="B15" s="89">
        <v>185558</v>
      </c>
      <c r="C15" s="89">
        <v>196180</v>
      </c>
      <c r="D15" s="89">
        <v>164159</v>
      </c>
      <c r="E15" s="89">
        <v>136574</v>
      </c>
      <c r="F15" s="89">
        <v>130482</v>
      </c>
      <c r="G15" s="89">
        <v>136062</v>
      </c>
      <c r="H15" s="89">
        <v>119650</v>
      </c>
      <c r="I15" s="89">
        <v>109283</v>
      </c>
      <c r="J15" s="89">
        <v>139957</v>
      </c>
      <c r="K15" s="89">
        <v>205983</v>
      </c>
      <c r="L15" s="89">
        <v>180844</v>
      </c>
      <c r="M15" s="89">
        <v>100621</v>
      </c>
    </row>
    <row r="16" spans="1:13" ht="15.75">
      <c r="A16" s="90" t="s">
        <v>165</v>
      </c>
      <c r="B16" s="91">
        <f>B14/B15</f>
        <v>0.12992703090138932</v>
      </c>
      <c r="C16" s="91">
        <f>C14/C15</f>
        <v>0.13326536853909673</v>
      </c>
      <c r="D16" s="91">
        <f t="shared" ref="D16:M16" si="5">D14/D15</f>
        <v>-0.14004714941002322</v>
      </c>
      <c r="E16" s="91">
        <f t="shared" si="5"/>
        <v>9.7485612195586269E-2</v>
      </c>
      <c r="F16" s="91">
        <f t="shared" si="5"/>
        <v>0.10475008047086955</v>
      </c>
      <c r="G16" s="91">
        <f t="shared" si="5"/>
        <v>0.14864547044729609</v>
      </c>
      <c r="H16" s="91">
        <f t="shared" si="5"/>
        <v>3.7952361053071461E-2</v>
      </c>
      <c r="I16" s="91">
        <f t="shared" si="5"/>
        <v>6.3578049650906368E-2</v>
      </c>
      <c r="J16" s="91">
        <f t="shared" si="5"/>
        <v>0.18135570210850477</v>
      </c>
      <c r="K16" s="91">
        <f t="shared" si="5"/>
        <v>-3.2769694586446456E-2</v>
      </c>
      <c r="L16" s="91">
        <f t="shared" si="5"/>
        <v>6.2484793523699981E-3</v>
      </c>
      <c r="M16" s="91">
        <f t="shared" si="5"/>
        <v>0.15728327088778685</v>
      </c>
    </row>
    <row r="17" spans="1:13" s="106" customFormat="1" ht="15.75">
      <c r="A17" s="104" t="s">
        <v>16</v>
      </c>
      <c r="B17" s="174">
        <v>-2869</v>
      </c>
      <c r="C17" s="174">
        <v>5419</v>
      </c>
      <c r="D17" s="174">
        <v>5308</v>
      </c>
      <c r="E17" s="174">
        <v>6801</v>
      </c>
      <c r="F17" s="174">
        <v>7669</v>
      </c>
      <c r="G17" s="174">
        <v>9084</v>
      </c>
      <c r="H17" s="174">
        <v>746</v>
      </c>
      <c r="I17" s="174">
        <v>-89</v>
      </c>
      <c r="J17" s="174">
        <v>-10806</v>
      </c>
      <c r="K17" s="174">
        <v>-13045</v>
      </c>
      <c r="L17" s="174">
        <v>4294</v>
      </c>
      <c r="M17" s="174">
        <v>6129</v>
      </c>
    </row>
    <row r="18" spans="1:13" ht="15.75">
      <c r="A18" s="88" t="s">
        <v>6</v>
      </c>
      <c r="B18" s="89">
        <f>11145-5785+4810</f>
        <v>10170</v>
      </c>
      <c r="C18" s="89">
        <v>11145</v>
      </c>
      <c r="D18" s="89">
        <v>7228</v>
      </c>
      <c r="E18" s="89">
        <v>4515</v>
      </c>
      <c r="F18" s="89">
        <v>4263</v>
      </c>
      <c r="G18" s="89">
        <v>4372</v>
      </c>
      <c r="H18" s="89">
        <v>4751</v>
      </c>
      <c r="I18" s="89">
        <v>4787</v>
      </c>
      <c r="J18" s="89">
        <v>5670</v>
      </c>
      <c r="K18" s="89">
        <v>8782</v>
      </c>
      <c r="L18" s="89">
        <v>7626</v>
      </c>
      <c r="M18" s="89">
        <v>4533</v>
      </c>
    </row>
    <row r="19" spans="1:13" ht="15.75">
      <c r="A19" s="94" t="s">
        <v>147</v>
      </c>
      <c r="B19" s="95">
        <f>B17+B18</f>
        <v>7301</v>
      </c>
      <c r="C19" s="95">
        <f>C17+C18</f>
        <v>16564</v>
      </c>
      <c r="D19" s="95">
        <f t="shared" ref="D19:M19" si="6">D17+D18</f>
        <v>12536</v>
      </c>
      <c r="E19" s="95">
        <f t="shared" si="6"/>
        <v>11316</v>
      </c>
      <c r="F19" s="95">
        <f t="shared" si="6"/>
        <v>11932</v>
      </c>
      <c r="G19" s="95">
        <f t="shared" si="6"/>
        <v>13456</v>
      </c>
      <c r="H19" s="95">
        <f t="shared" si="6"/>
        <v>5497</v>
      </c>
      <c r="I19" s="95">
        <f t="shared" si="6"/>
        <v>4698</v>
      </c>
      <c r="J19" s="95">
        <f t="shared" si="6"/>
        <v>-5136</v>
      </c>
      <c r="K19" s="95">
        <f t="shared" si="6"/>
        <v>-4263</v>
      </c>
      <c r="L19" s="95">
        <f t="shared" si="6"/>
        <v>11920</v>
      </c>
      <c r="M19" s="95">
        <f t="shared" si="6"/>
        <v>10662</v>
      </c>
    </row>
    <row r="20" spans="1:13" ht="15.75">
      <c r="A20" s="88" t="s">
        <v>166</v>
      </c>
      <c r="B20" s="89">
        <v>220234</v>
      </c>
      <c r="C20" s="89">
        <v>223797</v>
      </c>
      <c r="D20" s="89">
        <v>236624</v>
      </c>
      <c r="E20" s="89">
        <v>135884</v>
      </c>
      <c r="F20" s="89">
        <v>111662</v>
      </c>
      <c r="G20" s="89">
        <v>119541</v>
      </c>
      <c r="H20" s="89">
        <v>127599</v>
      </c>
      <c r="I20" s="89">
        <v>121073</v>
      </c>
      <c r="J20" s="89">
        <v>141072</v>
      </c>
      <c r="K20" s="89">
        <v>219126</v>
      </c>
      <c r="L20" s="89">
        <v>232372</v>
      </c>
      <c r="M20" s="89">
        <v>126340</v>
      </c>
    </row>
    <row r="21" spans="1:13" ht="15.75">
      <c r="A21" s="90" t="s">
        <v>167</v>
      </c>
      <c r="B21" s="91">
        <f>B19/B20</f>
        <v>3.3151102917805604E-2</v>
      </c>
      <c r="C21" s="91">
        <f>C19/C20</f>
        <v>7.4013503308802173E-2</v>
      </c>
      <c r="D21" s="91">
        <f t="shared" ref="D21:M21" si="7">D19/D20</f>
        <v>5.2978565149773484E-2</v>
      </c>
      <c r="E21" s="91">
        <f t="shared" si="7"/>
        <v>8.327691266079891E-2</v>
      </c>
      <c r="F21" s="91">
        <f t="shared" si="7"/>
        <v>0.10685819705898157</v>
      </c>
      <c r="G21" s="91">
        <f t="shared" si="7"/>
        <v>0.11256389021339959</v>
      </c>
      <c r="H21" s="91">
        <f t="shared" si="7"/>
        <v>4.3080274923784669E-2</v>
      </c>
      <c r="I21" s="91">
        <f t="shared" si="7"/>
        <v>3.8803036184781085E-2</v>
      </c>
      <c r="J21" s="91">
        <f t="shared" si="7"/>
        <v>-3.6406941136440968E-2</v>
      </c>
      <c r="K21" s="91">
        <f t="shared" si="7"/>
        <v>-1.9454560389912653E-2</v>
      </c>
      <c r="L21" s="91">
        <f t="shared" si="7"/>
        <v>5.1297058165355548E-2</v>
      </c>
      <c r="M21" s="91">
        <f t="shared" si="7"/>
        <v>8.4391324996042419E-2</v>
      </c>
    </row>
    <row r="22" spans="1:13" ht="15.75">
      <c r="A22" s="88" t="s">
        <v>169</v>
      </c>
      <c r="B22" s="93">
        <v>24109</v>
      </c>
      <c r="C22" s="93">
        <v>26144</v>
      </c>
      <c r="D22" s="93">
        <v>-22990</v>
      </c>
      <c r="E22" s="93">
        <v>13314</v>
      </c>
      <c r="F22" s="93">
        <v>13668</v>
      </c>
      <c r="G22" s="93">
        <v>20225</v>
      </c>
      <c r="H22" s="93">
        <v>4541</v>
      </c>
      <c r="I22" s="93">
        <v>6948</v>
      </c>
      <c r="J22" s="93">
        <v>25382</v>
      </c>
      <c r="K22" s="93">
        <v>-6750</v>
      </c>
      <c r="L22" s="93">
        <v>1130</v>
      </c>
      <c r="M22" s="93">
        <v>15826</v>
      </c>
    </row>
    <row r="23" spans="1:13" ht="15.75">
      <c r="A23" s="88" t="s">
        <v>82</v>
      </c>
      <c r="B23" s="89">
        <v>69438</v>
      </c>
      <c r="C23" s="89">
        <v>69586</v>
      </c>
      <c r="D23" s="89">
        <v>78958</v>
      </c>
      <c r="E23" s="89">
        <v>23466</v>
      </c>
      <c r="F23" s="89">
        <v>11277</v>
      </c>
      <c r="G23" s="89">
        <v>334</v>
      </c>
      <c r="H23" s="89">
        <v>-893</v>
      </c>
      <c r="I23" s="89">
        <v>-5925</v>
      </c>
      <c r="J23" s="89">
        <v>4624</v>
      </c>
      <c r="K23" s="89">
        <v>31673</v>
      </c>
      <c r="L23" s="89">
        <v>59580</v>
      </c>
      <c r="M23" s="89">
        <v>39921</v>
      </c>
    </row>
    <row r="24" spans="1:13" ht="15.75">
      <c r="A24" s="90" t="s">
        <v>168</v>
      </c>
      <c r="B24" s="91">
        <f>B22/B23</f>
        <v>0.34720182032892655</v>
      </c>
      <c r="C24" s="91">
        <f>C22/C23</f>
        <v>0.37570775730750439</v>
      </c>
      <c r="D24" s="91">
        <f t="shared" ref="D24:M24" si="8">D22/D23</f>
        <v>-0.29116745611590972</v>
      </c>
      <c r="E24" s="91">
        <f t="shared" si="8"/>
        <v>0.56737407312707744</v>
      </c>
      <c r="F24" s="91">
        <f t="shared" si="8"/>
        <v>1.212024474594307</v>
      </c>
      <c r="G24" s="91">
        <f t="shared" si="8"/>
        <v>60.553892215568865</v>
      </c>
      <c r="H24" s="91">
        <f t="shared" si="8"/>
        <v>-5.0851063829787231</v>
      </c>
      <c r="I24" s="91">
        <f t="shared" si="8"/>
        <v>-1.1726582278481013</v>
      </c>
      <c r="J24" s="91">
        <f t="shared" si="8"/>
        <v>5.4891868512110724</v>
      </c>
      <c r="K24" s="91">
        <f t="shared" si="8"/>
        <v>-0.2131152716825056</v>
      </c>
      <c r="L24" s="91">
        <f t="shared" si="8"/>
        <v>1.8966096005370931E-2</v>
      </c>
      <c r="M24" s="91">
        <f t="shared" si="8"/>
        <v>0.39643295508629545</v>
      </c>
    </row>
    <row r="26" spans="1:13" ht="15.75">
      <c r="A26" s="87" t="s">
        <v>145</v>
      </c>
      <c r="B26" s="87" t="s">
        <v>200</v>
      </c>
      <c r="C26" s="87">
        <v>2016</v>
      </c>
      <c r="D26" s="87">
        <f t="shared" ref="D26:M26" si="9">C26-1</f>
        <v>2015</v>
      </c>
      <c r="E26" s="87">
        <f t="shared" si="9"/>
        <v>2014</v>
      </c>
      <c r="F26" s="87">
        <f t="shared" si="9"/>
        <v>2013</v>
      </c>
      <c r="G26" s="87">
        <f t="shared" si="9"/>
        <v>2012</v>
      </c>
      <c r="H26" s="87">
        <f t="shared" si="9"/>
        <v>2011</v>
      </c>
      <c r="I26" s="87">
        <f t="shared" si="9"/>
        <v>2010</v>
      </c>
      <c r="J26" s="87">
        <f t="shared" si="9"/>
        <v>2009</v>
      </c>
      <c r="K26" s="87">
        <f t="shared" si="9"/>
        <v>2008</v>
      </c>
      <c r="L26" s="87">
        <f t="shared" si="9"/>
        <v>2007</v>
      </c>
      <c r="M26" s="87">
        <f t="shared" si="9"/>
        <v>2006</v>
      </c>
    </row>
    <row r="27" spans="1:13" ht="15.75">
      <c r="A27" s="88" t="s">
        <v>82</v>
      </c>
      <c r="B27" s="89">
        <v>69438</v>
      </c>
      <c r="C27" s="89">
        <v>69586</v>
      </c>
      <c r="D27" s="89">
        <v>78958</v>
      </c>
      <c r="E27" s="89">
        <v>23466</v>
      </c>
      <c r="F27" s="89">
        <v>11277</v>
      </c>
      <c r="G27" s="89">
        <v>334</v>
      </c>
      <c r="H27" s="89">
        <v>-893</v>
      </c>
      <c r="I27" s="89">
        <v>-5925</v>
      </c>
      <c r="J27" s="89">
        <v>4624</v>
      </c>
      <c r="K27" s="89">
        <v>31673</v>
      </c>
      <c r="L27" s="89">
        <v>59580</v>
      </c>
      <c r="M27" s="89">
        <v>39921</v>
      </c>
    </row>
    <row r="28" spans="1:13" ht="15.75">
      <c r="A28" s="88" t="s">
        <v>166</v>
      </c>
      <c r="B28" s="89">
        <v>220234</v>
      </c>
      <c r="C28" s="89">
        <v>223797</v>
      </c>
      <c r="D28" s="89">
        <v>236624</v>
      </c>
      <c r="E28" s="89">
        <v>135884</v>
      </c>
      <c r="F28" s="89">
        <v>111662</v>
      </c>
      <c r="G28" s="89">
        <v>119541</v>
      </c>
      <c r="H28" s="89">
        <v>127599</v>
      </c>
      <c r="I28" s="89">
        <v>121073</v>
      </c>
      <c r="J28" s="89">
        <v>141072</v>
      </c>
      <c r="K28" s="89">
        <v>219126</v>
      </c>
      <c r="L28" s="89">
        <v>232372</v>
      </c>
      <c r="M28" s="89">
        <v>126340</v>
      </c>
    </row>
    <row r="29" spans="1:13" ht="15.75">
      <c r="A29" s="90" t="s">
        <v>171</v>
      </c>
      <c r="B29" s="91">
        <f>B27/B28</f>
        <v>0.31529191677942553</v>
      </c>
      <c r="C29" s="91">
        <f>C27/C28</f>
        <v>0.3109335692614289</v>
      </c>
      <c r="D29" s="91">
        <f t="shared" ref="D29:M29" si="10">D27/D28</f>
        <v>0.33368550950030429</v>
      </c>
      <c r="E29" s="91">
        <f t="shared" si="10"/>
        <v>0.1726914132642548</v>
      </c>
      <c r="F29" s="91">
        <f t="shared" si="10"/>
        <v>0.10099228027439952</v>
      </c>
      <c r="G29" s="91">
        <f t="shared" si="10"/>
        <v>2.7940204615989495E-3</v>
      </c>
      <c r="H29" s="91">
        <f t="shared" si="10"/>
        <v>-6.9984874489611984E-3</v>
      </c>
      <c r="I29" s="91">
        <f t="shared" si="10"/>
        <v>-4.8937417921419306E-2</v>
      </c>
      <c r="J29" s="91">
        <f t="shared" si="10"/>
        <v>3.2777588749007602E-2</v>
      </c>
      <c r="K29" s="91">
        <f t="shared" si="10"/>
        <v>0.1445424093900313</v>
      </c>
      <c r="L29" s="91">
        <f t="shared" si="10"/>
        <v>0.25639922193723858</v>
      </c>
      <c r="M29" s="91">
        <f t="shared" si="10"/>
        <v>0.31598068703498494</v>
      </c>
    </row>
    <row r="30" spans="1:13" ht="15.75">
      <c r="A30" s="88" t="s">
        <v>172</v>
      </c>
      <c r="B30" s="89">
        <v>150796</v>
      </c>
      <c r="C30" s="89">
        <v>154211</v>
      </c>
      <c r="D30" s="89">
        <v>157666</v>
      </c>
      <c r="E30" s="89">
        <v>112417</v>
      </c>
      <c r="F30" s="89">
        <v>100385</v>
      </c>
      <c r="G30" s="89">
        <v>119207</v>
      </c>
      <c r="H30" s="89">
        <v>128492</v>
      </c>
      <c r="I30" s="89">
        <v>126998</v>
      </c>
      <c r="J30" s="89">
        <v>136448</v>
      </c>
      <c r="K30" s="89">
        <v>187453</v>
      </c>
      <c r="L30" s="89">
        <v>172792</v>
      </c>
      <c r="M30" s="89">
        <v>86419</v>
      </c>
    </row>
    <row r="31" spans="1:13" ht="15.75">
      <c r="A31" s="88" t="s">
        <v>166</v>
      </c>
      <c r="B31" s="89">
        <v>220234</v>
      </c>
      <c r="C31" s="89">
        <v>223797</v>
      </c>
      <c r="D31" s="89">
        <v>236624</v>
      </c>
      <c r="E31" s="89">
        <v>135884</v>
      </c>
      <c r="F31" s="89">
        <v>111662</v>
      </c>
      <c r="G31" s="89">
        <v>119541</v>
      </c>
      <c r="H31" s="89">
        <v>127599</v>
      </c>
      <c r="I31" s="89">
        <v>121073</v>
      </c>
      <c r="J31" s="89">
        <v>141072</v>
      </c>
      <c r="K31" s="89">
        <v>219126</v>
      </c>
      <c r="L31" s="89">
        <v>232372</v>
      </c>
      <c r="M31" s="89">
        <v>126340</v>
      </c>
    </row>
    <row r="32" spans="1:13" ht="15.75">
      <c r="A32" s="90" t="s">
        <v>173</v>
      </c>
      <c r="B32" s="91">
        <f>B30/B31</f>
        <v>0.68470808322057453</v>
      </c>
      <c r="C32" s="91">
        <f>C30/C31</f>
        <v>0.6890664307385711</v>
      </c>
      <c r="D32" s="91">
        <f t="shared" ref="D32:M32" si="11">D30/D31</f>
        <v>0.66631449049969571</v>
      </c>
      <c r="E32" s="91">
        <f t="shared" si="11"/>
        <v>0.8273012275175885</v>
      </c>
      <c r="F32" s="91">
        <f t="shared" si="11"/>
        <v>0.89900771972560045</v>
      </c>
      <c r="G32" s="91">
        <f t="shared" si="11"/>
        <v>0.99720597953840107</v>
      </c>
      <c r="H32" s="91">
        <f t="shared" si="11"/>
        <v>1.0069984874489613</v>
      </c>
      <c r="I32" s="91">
        <f t="shared" si="11"/>
        <v>1.0489374179214193</v>
      </c>
      <c r="J32" s="91">
        <f t="shared" si="11"/>
        <v>0.9672224112509924</v>
      </c>
      <c r="K32" s="91">
        <f t="shared" si="11"/>
        <v>0.85545759060996873</v>
      </c>
      <c r="L32" s="91">
        <f t="shared" si="11"/>
        <v>0.74360077806276148</v>
      </c>
      <c r="M32" s="91">
        <f t="shared" si="11"/>
        <v>0.68401931296501506</v>
      </c>
    </row>
    <row r="33" spans="1:13" ht="15.75">
      <c r="A33" s="88" t="s">
        <v>62</v>
      </c>
      <c r="B33" s="89">
        <f>18649+10056</f>
        <v>28705</v>
      </c>
      <c r="C33" s="89">
        <v>22500</v>
      </c>
      <c r="D33" s="89">
        <v>26586</v>
      </c>
      <c r="E33" s="89">
        <v>30264</v>
      </c>
      <c r="F33" s="89">
        <v>32464</v>
      </c>
      <c r="G33" s="89">
        <v>50198</v>
      </c>
      <c r="H33" s="89">
        <v>55546</v>
      </c>
      <c r="I33" s="89">
        <v>57905</v>
      </c>
      <c r="J33" s="89">
        <v>53498</v>
      </c>
      <c r="K33" s="89">
        <v>81307</v>
      </c>
      <c r="L33" s="89">
        <v>40639</v>
      </c>
      <c r="M33" s="89">
        <v>7385</v>
      </c>
    </row>
    <row r="34" spans="1:13" ht="15.75">
      <c r="A34" s="88" t="s">
        <v>71</v>
      </c>
      <c r="B34" s="89">
        <v>51477</v>
      </c>
      <c r="C34" s="89">
        <v>61733</v>
      </c>
      <c r="D34" s="89">
        <v>69134</v>
      </c>
      <c r="E34" s="89">
        <v>22282</v>
      </c>
      <c r="F34" s="89">
        <v>28732</v>
      </c>
      <c r="G34" s="89">
        <v>25114</v>
      </c>
      <c r="H34" s="89">
        <v>29093</v>
      </c>
      <c r="I34" s="89">
        <v>37410</v>
      </c>
      <c r="J34" s="89">
        <v>41643</v>
      </c>
      <c r="K34" s="89">
        <v>34796</v>
      </c>
      <c r="L34" s="89">
        <v>40922</v>
      </c>
      <c r="M34" s="89">
        <v>46995</v>
      </c>
    </row>
    <row r="35" spans="1:13" ht="15.75">
      <c r="A35" s="88" t="s">
        <v>72</v>
      </c>
      <c r="B35" s="89">
        <v>4748</v>
      </c>
      <c r="C35" s="89">
        <v>5951</v>
      </c>
      <c r="D35" s="89">
        <v>8447</v>
      </c>
      <c r="E35" s="89">
        <v>4189</v>
      </c>
      <c r="F35" s="89">
        <v>0</v>
      </c>
      <c r="G35" s="89">
        <v>1606</v>
      </c>
      <c r="H35" s="89">
        <v>1466</v>
      </c>
      <c r="I35" s="89">
        <v>2044</v>
      </c>
      <c r="J35" s="89">
        <v>0</v>
      </c>
      <c r="K35" s="89">
        <v>0</v>
      </c>
      <c r="L35" s="89">
        <v>0</v>
      </c>
      <c r="M35" s="89">
        <v>2627</v>
      </c>
    </row>
    <row r="36" spans="1:13" ht="15.75">
      <c r="A36" s="88" t="s">
        <v>78</v>
      </c>
      <c r="B36" s="89">
        <v>1211</v>
      </c>
      <c r="C36" s="89">
        <v>1359</v>
      </c>
      <c r="D36" s="89">
        <v>2004</v>
      </c>
      <c r="E36" s="89">
        <v>2405</v>
      </c>
      <c r="F36" s="89">
        <v>2587</v>
      </c>
      <c r="G36" s="89">
        <v>3018</v>
      </c>
      <c r="H36" s="89">
        <v>5110</v>
      </c>
      <c r="I36" s="89">
        <v>4925</v>
      </c>
      <c r="J36" s="89">
        <v>4670</v>
      </c>
      <c r="K36" s="89">
        <v>2644</v>
      </c>
      <c r="L36" s="89">
        <v>2845</v>
      </c>
      <c r="M36" s="89">
        <v>0</v>
      </c>
    </row>
    <row r="37" spans="1:13" ht="15.75">
      <c r="A37" s="96" t="s">
        <v>174</v>
      </c>
      <c r="B37" s="97">
        <f>SUM(B33:B36)</f>
        <v>86141</v>
      </c>
      <c r="C37" s="97">
        <f t="shared" ref="C37:M37" si="12">SUM(C33:C36)</f>
        <v>91543</v>
      </c>
      <c r="D37" s="97">
        <f t="shared" si="12"/>
        <v>106171</v>
      </c>
      <c r="E37" s="97">
        <f t="shared" si="12"/>
        <v>59140</v>
      </c>
      <c r="F37" s="97">
        <f t="shared" si="12"/>
        <v>63783</v>
      </c>
      <c r="G37" s="97">
        <f t="shared" si="12"/>
        <v>79936</v>
      </c>
      <c r="H37" s="97">
        <f t="shared" si="12"/>
        <v>91215</v>
      </c>
      <c r="I37" s="97">
        <f t="shared" si="12"/>
        <v>102284</v>
      </c>
      <c r="J37" s="97">
        <f t="shared" si="12"/>
        <v>99811</v>
      </c>
      <c r="K37" s="97">
        <f t="shared" si="12"/>
        <v>118747</v>
      </c>
      <c r="L37" s="97">
        <f t="shared" si="12"/>
        <v>84406</v>
      </c>
      <c r="M37" s="97">
        <f t="shared" si="12"/>
        <v>57007</v>
      </c>
    </row>
    <row r="38" spans="1:13" ht="15.75">
      <c r="A38" s="88" t="s">
        <v>82</v>
      </c>
      <c r="B38" s="89">
        <v>69438</v>
      </c>
      <c r="C38" s="89">
        <v>69586</v>
      </c>
      <c r="D38" s="89">
        <v>78958</v>
      </c>
      <c r="E38" s="89">
        <v>23466</v>
      </c>
      <c r="F38" s="89">
        <v>11277</v>
      </c>
      <c r="G38" s="89">
        <v>334</v>
      </c>
      <c r="H38" s="89">
        <v>-893</v>
      </c>
      <c r="I38" s="89">
        <v>-5925</v>
      </c>
      <c r="J38" s="89">
        <v>4624</v>
      </c>
      <c r="K38" s="89">
        <v>31673</v>
      </c>
      <c r="L38" s="89">
        <v>59580</v>
      </c>
      <c r="M38" s="89">
        <v>39921</v>
      </c>
    </row>
    <row r="39" spans="1:13" ht="15.75">
      <c r="A39" s="90" t="s">
        <v>141</v>
      </c>
      <c r="B39" s="91">
        <f>B37/B38</f>
        <v>1.2405455226244995</v>
      </c>
      <c r="C39" s="91">
        <f>C37/C38</f>
        <v>1.3155376081395682</v>
      </c>
      <c r="D39" s="91">
        <f>D37/D38</f>
        <v>1.3446515869196281</v>
      </c>
      <c r="E39" s="91">
        <f t="shared" ref="E39:M39" si="13">E37/E38</f>
        <v>2.520242052331032</v>
      </c>
      <c r="F39" s="91">
        <f t="shared" si="13"/>
        <v>5.6560255387071026</v>
      </c>
      <c r="G39" s="91">
        <f>G37/G38</f>
        <v>239.32934131736528</v>
      </c>
      <c r="H39" s="91">
        <f>H37/H38</f>
        <v>-102.1444568868981</v>
      </c>
      <c r="I39" s="91">
        <f>I37/I38</f>
        <v>-17.263122362869197</v>
      </c>
      <c r="J39" s="91">
        <f t="shared" si="13"/>
        <v>21.585423875432525</v>
      </c>
      <c r="K39" s="91">
        <f t="shared" si="13"/>
        <v>3.7491554320714804</v>
      </c>
      <c r="L39" s="91">
        <f t="shared" si="13"/>
        <v>1.4166834508224235</v>
      </c>
      <c r="M39" s="91">
        <f t="shared" si="13"/>
        <v>1.4279952906991309</v>
      </c>
    </row>
    <row r="40" spans="1:13" ht="15.75">
      <c r="A40" s="88" t="s">
        <v>62</v>
      </c>
      <c r="B40" s="89">
        <f>18649+10056</f>
        <v>28705</v>
      </c>
      <c r="C40" s="89">
        <v>22500</v>
      </c>
      <c r="D40" s="89">
        <v>26586</v>
      </c>
      <c r="E40" s="89">
        <v>30264</v>
      </c>
      <c r="F40" s="89">
        <v>32464</v>
      </c>
      <c r="G40" s="89">
        <v>50198</v>
      </c>
      <c r="H40" s="89">
        <v>55546</v>
      </c>
      <c r="I40" s="89">
        <v>57905</v>
      </c>
      <c r="J40" s="89">
        <v>53498</v>
      </c>
      <c r="K40" s="89">
        <v>81307</v>
      </c>
      <c r="L40" s="89">
        <v>40639</v>
      </c>
      <c r="M40" s="89">
        <v>7385</v>
      </c>
    </row>
    <row r="41" spans="1:13" ht="15.75">
      <c r="A41" s="88" t="s">
        <v>71</v>
      </c>
      <c r="B41" s="89">
        <v>51477</v>
      </c>
      <c r="C41" s="89">
        <v>61733</v>
      </c>
      <c r="D41" s="89">
        <v>69134</v>
      </c>
      <c r="E41" s="89">
        <v>22282</v>
      </c>
      <c r="F41" s="89">
        <v>28732</v>
      </c>
      <c r="G41" s="89">
        <v>25114</v>
      </c>
      <c r="H41" s="89">
        <v>29093</v>
      </c>
      <c r="I41" s="89">
        <v>37410</v>
      </c>
      <c r="J41" s="89">
        <v>41643</v>
      </c>
      <c r="K41" s="89">
        <v>34796</v>
      </c>
      <c r="L41" s="89">
        <v>40922</v>
      </c>
      <c r="M41" s="89">
        <v>46995</v>
      </c>
    </row>
    <row r="42" spans="1:13" ht="15.75">
      <c r="A42" s="88" t="s">
        <v>72</v>
      </c>
      <c r="B42" s="89">
        <v>4748</v>
      </c>
      <c r="C42" s="89">
        <v>5951</v>
      </c>
      <c r="D42" s="89">
        <v>8447</v>
      </c>
      <c r="E42" s="89">
        <v>4189</v>
      </c>
      <c r="F42" s="89">
        <v>0</v>
      </c>
      <c r="G42" s="89">
        <v>1606</v>
      </c>
      <c r="H42" s="89">
        <v>1466</v>
      </c>
      <c r="I42" s="89">
        <v>2044</v>
      </c>
      <c r="J42" s="89">
        <v>0</v>
      </c>
      <c r="K42" s="89">
        <v>0</v>
      </c>
      <c r="L42" s="89">
        <v>0</v>
      </c>
      <c r="M42" s="89">
        <v>2627</v>
      </c>
    </row>
    <row r="43" spans="1:13" ht="15.75">
      <c r="A43" s="88" t="s">
        <v>78</v>
      </c>
      <c r="B43" s="89">
        <v>1211</v>
      </c>
      <c r="C43" s="89">
        <v>1359</v>
      </c>
      <c r="D43" s="89">
        <v>2004</v>
      </c>
      <c r="E43" s="89">
        <v>2405</v>
      </c>
      <c r="F43" s="89">
        <v>2587</v>
      </c>
      <c r="G43" s="89">
        <v>3018</v>
      </c>
      <c r="H43" s="89">
        <v>5110</v>
      </c>
      <c r="I43" s="89">
        <v>4925</v>
      </c>
      <c r="J43" s="89">
        <v>4670</v>
      </c>
      <c r="K43" s="89">
        <v>2644</v>
      </c>
      <c r="L43" s="89">
        <v>2845</v>
      </c>
      <c r="M43" s="89">
        <v>0</v>
      </c>
    </row>
    <row r="44" spans="1:13" ht="15.75">
      <c r="A44" s="90" t="s">
        <v>175</v>
      </c>
      <c r="B44" s="91">
        <f>B40/SUM(B41:B43)</f>
        <v>0.49977366111846228</v>
      </c>
      <c r="C44" s="91">
        <f>C40/SUM(C41:C43)</f>
        <v>0.32588386947264747</v>
      </c>
      <c r="D44" s="91">
        <f t="shared" ref="D44:M44" si="14">D40/SUM(D41:D43)</f>
        <v>0.33405792548847146</v>
      </c>
      <c r="E44" s="91">
        <f t="shared" si="14"/>
        <v>1.0480675993904973</v>
      </c>
      <c r="F44" s="91">
        <f t="shared" si="14"/>
        <v>1.0365592771161276</v>
      </c>
      <c r="G44" s="91">
        <f t="shared" si="14"/>
        <v>1.6880086085143586</v>
      </c>
      <c r="H44" s="91">
        <f t="shared" si="14"/>
        <v>1.5572626089881971</v>
      </c>
      <c r="I44" s="91">
        <f t="shared" si="14"/>
        <v>1.3047837941368665</v>
      </c>
      <c r="J44" s="91">
        <f t="shared" si="14"/>
        <v>1.1551400254788073</v>
      </c>
      <c r="K44" s="91">
        <f t="shared" si="14"/>
        <v>2.1716613247863248</v>
      </c>
      <c r="L44" s="91">
        <f t="shared" si="14"/>
        <v>0.92853062809879594</v>
      </c>
      <c r="M44" s="91">
        <f t="shared" si="14"/>
        <v>0.14882511789125791</v>
      </c>
    </row>
    <row r="46" spans="1:13" ht="15.75">
      <c r="A46" s="87" t="s">
        <v>176</v>
      </c>
      <c r="B46" s="87" t="s">
        <v>200</v>
      </c>
      <c r="C46" s="87">
        <v>2016</v>
      </c>
      <c r="D46" s="87">
        <f t="shared" ref="D46:M46" si="15">C46-1</f>
        <v>2015</v>
      </c>
      <c r="E46" s="87">
        <f t="shared" si="15"/>
        <v>2014</v>
      </c>
      <c r="F46" s="87">
        <f t="shared" si="15"/>
        <v>2013</v>
      </c>
      <c r="G46" s="87">
        <f t="shared" si="15"/>
        <v>2012</v>
      </c>
      <c r="H46" s="87">
        <f t="shared" si="15"/>
        <v>2011</v>
      </c>
      <c r="I46" s="87">
        <f t="shared" si="15"/>
        <v>2010</v>
      </c>
      <c r="J46" s="87">
        <f t="shared" si="15"/>
        <v>2009</v>
      </c>
      <c r="K46" s="87">
        <f t="shared" si="15"/>
        <v>2008</v>
      </c>
      <c r="L46" s="87">
        <f t="shared" si="15"/>
        <v>2007</v>
      </c>
      <c r="M46" s="87">
        <f t="shared" si="15"/>
        <v>2006</v>
      </c>
    </row>
    <row r="47" spans="1:13" ht="15.75">
      <c r="A47" s="88" t="s">
        <v>10</v>
      </c>
      <c r="B47" s="103">
        <v>28375</v>
      </c>
      <c r="C47" s="103">
        <v>28698</v>
      </c>
      <c r="D47" s="103">
        <v>25909</v>
      </c>
      <c r="E47" s="103">
        <v>22242</v>
      </c>
      <c r="F47" s="103">
        <v>21115</v>
      </c>
      <c r="G47" s="103">
        <v>22269</v>
      </c>
      <c r="H47" s="103">
        <v>14660</v>
      </c>
      <c r="I47" s="103">
        <v>14475</v>
      </c>
      <c r="J47" s="103">
        <v>9675</v>
      </c>
      <c r="K47" s="103">
        <v>16744</v>
      </c>
      <c r="L47" s="103">
        <v>25557</v>
      </c>
      <c r="M47" s="103">
        <v>16261</v>
      </c>
    </row>
    <row r="48" spans="1:13" ht="15.75">
      <c r="A48" s="88" t="s">
        <v>170</v>
      </c>
      <c r="B48" s="89">
        <v>185558</v>
      </c>
      <c r="C48" s="89">
        <v>196180</v>
      </c>
      <c r="D48" s="89">
        <v>164159</v>
      </c>
      <c r="E48" s="89">
        <v>136574</v>
      </c>
      <c r="F48" s="89">
        <v>130482</v>
      </c>
      <c r="G48" s="89">
        <v>136062</v>
      </c>
      <c r="H48" s="89">
        <v>119650</v>
      </c>
      <c r="I48" s="89">
        <v>109283</v>
      </c>
      <c r="J48" s="89">
        <v>139957</v>
      </c>
      <c r="K48" s="89">
        <v>205983</v>
      </c>
      <c r="L48" s="89">
        <v>180844</v>
      </c>
      <c r="M48" s="89">
        <v>100621</v>
      </c>
    </row>
    <row r="49" spans="1:13" ht="15.75">
      <c r="A49" s="90" t="s">
        <v>177</v>
      </c>
      <c r="B49" s="98">
        <f t="shared" ref="B49:M49" si="16">B47/B48</f>
        <v>0.15291714719925845</v>
      </c>
      <c r="C49" s="98">
        <f t="shared" si="16"/>
        <v>0.14628402487511469</v>
      </c>
      <c r="D49" s="98">
        <f t="shared" si="16"/>
        <v>0.15782869047691567</v>
      </c>
      <c r="E49" s="98">
        <f t="shared" si="16"/>
        <v>0.16285676629519527</v>
      </c>
      <c r="F49" s="98">
        <f t="shared" si="16"/>
        <v>0.16182308670927792</v>
      </c>
      <c r="G49" s="98">
        <f t="shared" si="16"/>
        <v>0.16366803369052343</v>
      </c>
      <c r="H49" s="98">
        <f t="shared" si="16"/>
        <v>0.12252402841621396</v>
      </c>
      <c r="I49" s="98">
        <f t="shared" si="16"/>
        <v>0.13245427010605493</v>
      </c>
      <c r="J49" s="98">
        <f t="shared" si="16"/>
        <v>6.9128375143794163E-2</v>
      </c>
      <c r="K49" s="98">
        <f t="shared" si="16"/>
        <v>8.1288261652660662E-2</v>
      </c>
      <c r="L49" s="98">
        <f t="shared" si="16"/>
        <v>0.14132069629072572</v>
      </c>
      <c r="M49" s="98">
        <f t="shared" si="16"/>
        <v>0.16160642410629988</v>
      </c>
    </row>
    <row r="50" spans="1:13" s="106" customFormat="1" ht="15.75">
      <c r="A50" s="104" t="s">
        <v>16</v>
      </c>
      <c r="B50" s="105">
        <v>-2869</v>
      </c>
      <c r="C50" s="105">
        <v>5419</v>
      </c>
      <c r="D50" s="105">
        <v>5308</v>
      </c>
      <c r="E50" s="105">
        <v>6801</v>
      </c>
      <c r="F50" s="105">
        <v>7669</v>
      </c>
      <c r="G50" s="105">
        <v>9084</v>
      </c>
      <c r="H50" s="105">
        <v>746</v>
      </c>
      <c r="I50" s="105">
        <v>-89</v>
      </c>
      <c r="J50" s="105">
        <v>-10806</v>
      </c>
      <c r="K50" s="105">
        <v>-13045</v>
      </c>
      <c r="L50" s="105">
        <v>4294</v>
      </c>
      <c r="M50" s="105">
        <v>6129</v>
      </c>
    </row>
    <row r="51" spans="1:13" ht="15.75">
      <c r="A51" s="88" t="s">
        <v>170</v>
      </c>
      <c r="B51" s="89">
        <v>185558</v>
      </c>
      <c r="C51" s="89">
        <v>196180</v>
      </c>
      <c r="D51" s="89">
        <v>164159</v>
      </c>
      <c r="E51" s="89">
        <v>136574</v>
      </c>
      <c r="F51" s="89">
        <v>130482</v>
      </c>
      <c r="G51" s="89">
        <v>136062</v>
      </c>
      <c r="H51" s="89">
        <v>119650</v>
      </c>
      <c r="I51" s="89">
        <v>109283</v>
      </c>
      <c r="J51" s="89">
        <v>139957</v>
      </c>
      <c r="K51" s="89">
        <v>205983</v>
      </c>
      <c r="L51" s="89">
        <v>180844</v>
      </c>
      <c r="M51" s="89">
        <v>100621</v>
      </c>
    </row>
    <row r="52" spans="1:13" ht="15.75">
      <c r="A52" s="90" t="s">
        <v>178</v>
      </c>
      <c r="B52" s="98">
        <f t="shared" ref="B52:M52" si="17">B50/B51</f>
        <v>-1.5461472962631629E-2</v>
      </c>
      <c r="C52" s="98">
        <f t="shared" si="17"/>
        <v>2.7622591497604241E-2</v>
      </c>
      <c r="D52" s="98">
        <f t="shared" si="17"/>
        <v>3.2334504961653028E-2</v>
      </c>
      <c r="E52" s="98">
        <f t="shared" si="17"/>
        <v>4.9797179551012635E-2</v>
      </c>
      <c r="F52" s="98">
        <f t="shared" si="17"/>
        <v>5.8774390337364542E-2</v>
      </c>
      <c r="G52" s="98">
        <f t="shared" si="17"/>
        <v>6.676368126295365E-2</v>
      </c>
      <c r="H52" s="98">
        <f t="shared" si="17"/>
        <v>6.2348516506477228E-3</v>
      </c>
      <c r="I52" s="98">
        <f t="shared" si="17"/>
        <v>-8.1439931187833419E-4</v>
      </c>
      <c r="J52" s="98">
        <f t="shared" si="17"/>
        <v>-7.7209428610215999E-2</v>
      </c>
      <c r="K52" s="98">
        <f t="shared" si="17"/>
        <v>-6.3330469019288002E-2</v>
      </c>
      <c r="L52" s="98">
        <f t="shared" si="17"/>
        <v>2.3744221539005995E-2</v>
      </c>
      <c r="M52" s="98">
        <f t="shared" si="17"/>
        <v>6.0911738106359505E-2</v>
      </c>
    </row>
    <row r="53" spans="1:13" ht="15.75">
      <c r="A53" s="88" t="s">
        <v>28</v>
      </c>
      <c r="B53" s="89">
        <v>-9516</v>
      </c>
      <c r="C53" s="89">
        <v>-9418</v>
      </c>
      <c r="D53" s="89">
        <v>8185</v>
      </c>
      <c r="E53" s="89">
        <v>6703</v>
      </c>
      <c r="F53" s="89">
        <v>6232</v>
      </c>
      <c r="G53" s="89">
        <v>79</v>
      </c>
      <c r="H53" s="89">
        <v>-9588</v>
      </c>
      <c r="I53" s="89">
        <v>-10768</v>
      </c>
      <c r="J53" s="89">
        <v>-32118</v>
      </c>
      <c r="K53" s="89">
        <v>-27955</v>
      </c>
      <c r="L53" s="89">
        <v>-5216</v>
      </c>
      <c r="M53" s="89">
        <v>757</v>
      </c>
    </row>
    <row r="54" spans="1:13" ht="15.75">
      <c r="A54" s="88" t="s">
        <v>170</v>
      </c>
      <c r="B54" s="89">
        <v>185558</v>
      </c>
      <c r="C54" s="89">
        <v>196180</v>
      </c>
      <c r="D54" s="89">
        <v>164159</v>
      </c>
      <c r="E54" s="89">
        <v>136574</v>
      </c>
      <c r="F54" s="89">
        <v>130482</v>
      </c>
      <c r="G54" s="89">
        <v>136062</v>
      </c>
      <c r="H54" s="89">
        <v>119650</v>
      </c>
      <c r="I54" s="89">
        <v>109283</v>
      </c>
      <c r="J54" s="89">
        <v>139957</v>
      </c>
      <c r="K54" s="89">
        <v>205983</v>
      </c>
      <c r="L54" s="89">
        <v>180844</v>
      </c>
      <c r="M54" s="89">
        <v>100621</v>
      </c>
    </row>
    <row r="55" spans="1:13" ht="15.75">
      <c r="A55" s="90" t="s">
        <v>179</v>
      </c>
      <c r="B55" s="98">
        <f t="shared" ref="B55:M55" si="18">B53/B54</f>
        <v>-5.1283156748833249E-2</v>
      </c>
      <c r="C55" s="98">
        <f t="shared" si="18"/>
        <v>-4.8006932409012132E-2</v>
      </c>
      <c r="D55" s="98">
        <f t="shared" si="18"/>
        <v>4.9860196516791647E-2</v>
      </c>
      <c r="E55" s="98">
        <f t="shared" si="18"/>
        <v>4.9079619839793809E-2</v>
      </c>
      <c r="F55" s="98">
        <f t="shared" si="18"/>
        <v>4.7761377048175228E-2</v>
      </c>
      <c r="G55" s="98">
        <f t="shared" si="18"/>
        <v>5.8061765959636046E-4</v>
      </c>
      <c r="H55" s="98">
        <f t="shared" si="18"/>
        <v>-8.0133723359799416E-2</v>
      </c>
      <c r="I55" s="98">
        <f t="shared" si="18"/>
        <v>-9.8533166183212395E-2</v>
      </c>
      <c r="J55" s="98">
        <f t="shared" si="18"/>
        <v>-0.22948477032231329</v>
      </c>
      <c r="K55" s="98">
        <f t="shared" si="18"/>
        <v>-0.13571508328357196</v>
      </c>
      <c r="L55" s="98">
        <f t="shared" si="18"/>
        <v>-2.8842538320320275E-2</v>
      </c>
      <c r="M55" s="98">
        <f t="shared" si="18"/>
        <v>7.5232804285387742E-3</v>
      </c>
    </row>
    <row r="56" spans="1:13" ht="15.75">
      <c r="A56" s="88" t="s">
        <v>13</v>
      </c>
      <c r="B56" s="89">
        <f>10995-2794+3447</f>
        <v>11648</v>
      </c>
      <c r="C56" s="89">
        <v>11170</v>
      </c>
      <c r="D56" s="89">
        <v>9262</v>
      </c>
      <c r="E56" s="89">
        <v>5690</v>
      </c>
      <c r="F56" s="89">
        <v>4074</v>
      </c>
      <c r="G56" s="89">
        <v>3456</v>
      </c>
      <c r="H56" s="89">
        <v>4341</v>
      </c>
      <c r="I56" s="89">
        <v>3906</v>
      </c>
      <c r="J56" s="89">
        <v>7390</v>
      </c>
      <c r="K56" s="89">
        <v>14128</v>
      </c>
      <c r="L56" s="89">
        <v>10303</v>
      </c>
      <c r="M56" s="89">
        <v>2019</v>
      </c>
    </row>
    <row r="57" spans="1:13" ht="15.75">
      <c r="A57" s="88" t="s">
        <v>14</v>
      </c>
      <c r="B57" s="89">
        <f>12109-2878+2624</f>
        <v>11855</v>
      </c>
      <c r="C57" s="89">
        <v>12109</v>
      </c>
      <c r="D57" s="89">
        <v>11339</v>
      </c>
      <c r="E57" s="89">
        <v>9751</v>
      </c>
      <c r="F57" s="89">
        <v>9372</v>
      </c>
      <c r="G57" s="89">
        <v>9729</v>
      </c>
      <c r="H57" s="89">
        <v>9573</v>
      </c>
      <c r="I57" s="89">
        <v>10658</v>
      </c>
      <c r="J57" s="89">
        <v>13091</v>
      </c>
      <c r="K57" s="89">
        <v>15661</v>
      </c>
      <c r="L57" s="89">
        <v>10960</v>
      </c>
      <c r="M57" s="89">
        <v>8113</v>
      </c>
    </row>
    <row r="58" spans="1:13" ht="15.75">
      <c r="A58" s="94" t="s">
        <v>181</v>
      </c>
      <c r="B58" s="99">
        <f>SUM(B56:B57)</f>
        <v>23503</v>
      </c>
      <c r="C58" s="99">
        <f>SUM(C56:C57)</f>
        <v>23279</v>
      </c>
      <c r="D58" s="99">
        <f t="shared" ref="D58:M58" si="19">SUM(D56:D57)</f>
        <v>20601</v>
      </c>
      <c r="E58" s="99">
        <f t="shared" si="19"/>
        <v>15441</v>
      </c>
      <c r="F58" s="99">
        <f t="shared" si="19"/>
        <v>13446</v>
      </c>
      <c r="G58" s="99">
        <f t="shared" si="19"/>
        <v>13185</v>
      </c>
      <c r="H58" s="99">
        <f t="shared" si="19"/>
        <v>13914</v>
      </c>
      <c r="I58" s="99">
        <f t="shared" si="19"/>
        <v>14564</v>
      </c>
      <c r="J58" s="99">
        <f t="shared" si="19"/>
        <v>20481</v>
      </c>
      <c r="K58" s="99">
        <f t="shared" si="19"/>
        <v>29789</v>
      </c>
      <c r="L58" s="99">
        <f t="shared" si="19"/>
        <v>21263</v>
      </c>
      <c r="M58" s="99">
        <f t="shared" si="19"/>
        <v>10132</v>
      </c>
    </row>
    <row r="59" spans="1:13" ht="15.75">
      <c r="A59" s="88" t="s">
        <v>170</v>
      </c>
      <c r="B59" s="89">
        <v>185558</v>
      </c>
      <c r="C59" s="89">
        <v>196180</v>
      </c>
      <c r="D59" s="89">
        <v>164159</v>
      </c>
      <c r="E59" s="89">
        <v>136574</v>
      </c>
      <c r="F59" s="89">
        <v>130482</v>
      </c>
      <c r="G59" s="89">
        <v>136062</v>
      </c>
      <c r="H59" s="89">
        <v>119650</v>
      </c>
      <c r="I59" s="89">
        <v>109283</v>
      </c>
      <c r="J59" s="89">
        <v>139957</v>
      </c>
      <c r="K59" s="89">
        <v>205983</v>
      </c>
      <c r="L59" s="89">
        <v>180844</v>
      </c>
      <c r="M59" s="89">
        <v>100621</v>
      </c>
    </row>
    <row r="60" spans="1:13" ht="15.75">
      <c r="A60" s="90" t="s">
        <v>182</v>
      </c>
      <c r="B60" s="98">
        <f t="shared" ref="B60:M60" si="20">B58/B59</f>
        <v>0.12666120566076375</v>
      </c>
      <c r="C60" s="98">
        <f t="shared" si="20"/>
        <v>0.11866143337751045</v>
      </c>
      <c r="D60" s="98">
        <f t="shared" si="20"/>
        <v>0.12549418551526265</v>
      </c>
      <c r="E60" s="98">
        <f t="shared" si="20"/>
        <v>0.11305958674418264</v>
      </c>
      <c r="F60" s="98">
        <f t="shared" si="20"/>
        <v>0.10304869637191337</v>
      </c>
      <c r="G60" s="98">
        <f t="shared" si="20"/>
        <v>9.6904352427569784E-2</v>
      </c>
      <c r="H60" s="98">
        <f t="shared" si="20"/>
        <v>0.11628917676556623</v>
      </c>
      <c r="I60" s="98">
        <f t="shared" si="20"/>
        <v>0.13326866941793325</v>
      </c>
      <c r="J60" s="98">
        <f t="shared" si="20"/>
        <v>0.14633780375401015</v>
      </c>
      <c r="K60" s="98">
        <f t="shared" si="20"/>
        <v>0.14461873067194866</v>
      </c>
      <c r="L60" s="98">
        <f t="shared" si="20"/>
        <v>0.11757647475171971</v>
      </c>
      <c r="M60" s="98">
        <f t="shared" si="20"/>
        <v>0.10069468599994037</v>
      </c>
    </row>
    <row r="61" spans="1:13" ht="15.75">
      <c r="A61" s="88" t="s">
        <v>17</v>
      </c>
      <c r="B61" s="89">
        <v>6867</v>
      </c>
      <c r="C61" s="89">
        <v>6378</v>
      </c>
      <c r="D61" s="89">
        <v>7624</v>
      </c>
      <c r="E61" s="89">
        <v>4112</v>
      </c>
      <c r="F61" s="89">
        <v>1367</v>
      </c>
      <c r="G61" s="89">
        <v>8929</v>
      </c>
      <c r="H61" s="89">
        <v>8996</v>
      </c>
      <c r="I61" s="89">
        <v>11776</v>
      </c>
      <c r="J61" s="89">
        <v>8257</v>
      </c>
      <c r="K61" s="89">
        <v>11121</v>
      </c>
      <c r="L61" s="89">
        <v>9392</v>
      </c>
      <c r="M61" s="89">
        <v>5990</v>
      </c>
    </row>
    <row r="62" spans="1:13" ht="15.75">
      <c r="A62" s="88" t="s">
        <v>170</v>
      </c>
      <c r="B62" s="89">
        <v>185558</v>
      </c>
      <c r="C62" s="89">
        <v>196180</v>
      </c>
      <c r="D62" s="89">
        <v>164159</v>
      </c>
      <c r="E62" s="89">
        <v>136574</v>
      </c>
      <c r="F62" s="89">
        <v>130482</v>
      </c>
      <c r="G62" s="89">
        <v>136062</v>
      </c>
      <c r="H62" s="89">
        <v>119650</v>
      </c>
      <c r="I62" s="89">
        <v>109283</v>
      </c>
      <c r="J62" s="89">
        <v>139957</v>
      </c>
      <c r="K62" s="89">
        <v>205983</v>
      </c>
      <c r="L62" s="89">
        <v>180844</v>
      </c>
      <c r="M62" s="89">
        <v>100621</v>
      </c>
    </row>
    <row r="63" spans="1:13" ht="15.75">
      <c r="A63" s="90" t="s">
        <v>180</v>
      </c>
      <c r="B63" s="98">
        <f t="shared" ref="B63:M63" si="21">B61/B62</f>
        <v>3.700729690986107E-2</v>
      </c>
      <c r="C63" s="98">
        <f t="shared" si="21"/>
        <v>3.2510959323070653E-2</v>
      </c>
      <c r="D63" s="98">
        <f t="shared" si="21"/>
        <v>4.6442778038365246E-2</v>
      </c>
      <c r="E63" s="98">
        <f t="shared" si="21"/>
        <v>3.0108219719712389E-2</v>
      </c>
      <c r="F63" s="98">
        <f t="shared" si="21"/>
        <v>1.0476540825554482E-2</v>
      </c>
      <c r="G63" s="98">
        <f t="shared" si="21"/>
        <v>6.5624494715644341E-2</v>
      </c>
      <c r="H63" s="98">
        <f t="shared" si="21"/>
        <v>7.5185959047221057E-2</v>
      </c>
      <c r="I63" s="98">
        <f t="shared" si="21"/>
        <v>0.10775692468178948</v>
      </c>
      <c r="J63" s="98">
        <f t="shared" si="21"/>
        <v>5.8996691841065471E-2</v>
      </c>
      <c r="K63" s="98">
        <f t="shared" si="21"/>
        <v>5.3989892369758673E-2</v>
      </c>
      <c r="L63" s="98">
        <f t="shared" si="21"/>
        <v>5.1934263785361971E-2</v>
      </c>
      <c r="M63" s="98">
        <f t="shared" si="21"/>
        <v>5.9530316733087528E-2</v>
      </c>
    </row>
    <row r="64" spans="1:13" ht="15.75">
      <c r="A64" s="88" t="s">
        <v>28</v>
      </c>
      <c r="B64" s="89">
        <v>-9516</v>
      </c>
      <c r="C64" s="89">
        <v>-9418</v>
      </c>
      <c r="D64" s="89">
        <v>8185</v>
      </c>
      <c r="E64" s="89">
        <v>6703</v>
      </c>
      <c r="F64" s="89">
        <v>6232</v>
      </c>
      <c r="G64" s="89">
        <v>79</v>
      </c>
      <c r="H64" s="89">
        <v>-9588</v>
      </c>
      <c r="I64" s="89">
        <v>-10768</v>
      </c>
      <c r="J64" s="89">
        <v>-32118</v>
      </c>
      <c r="K64" s="89">
        <v>-27955</v>
      </c>
      <c r="L64" s="89">
        <v>-5216</v>
      </c>
      <c r="M64" s="89">
        <v>757</v>
      </c>
    </row>
    <row r="65" spans="1:13" ht="15.75">
      <c r="A65" s="88" t="s">
        <v>82</v>
      </c>
      <c r="B65" s="89">
        <v>69438</v>
      </c>
      <c r="C65" s="89">
        <v>69586</v>
      </c>
      <c r="D65" s="89">
        <v>78958</v>
      </c>
      <c r="E65" s="89">
        <v>23466</v>
      </c>
      <c r="F65" s="89">
        <v>11277</v>
      </c>
      <c r="G65" s="89">
        <v>334</v>
      </c>
      <c r="H65" s="89">
        <v>-893</v>
      </c>
      <c r="I65" s="89">
        <v>-5925</v>
      </c>
      <c r="J65" s="89">
        <v>4624</v>
      </c>
      <c r="K65" s="89">
        <v>31673</v>
      </c>
      <c r="L65" s="89">
        <v>59580</v>
      </c>
      <c r="M65" s="89">
        <v>39921</v>
      </c>
    </row>
    <row r="66" spans="1:13" ht="15.75">
      <c r="A66" s="90" t="s">
        <v>183</v>
      </c>
      <c r="B66" s="98">
        <f t="shared" ref="B66:M66" si="22">B64/B65</f>
        <v>-0.13704311760131341</v>
      </c>
      <c r="C66" s="98">
        <f t="shared" si="22"/>
        <v>-0.13534331618428994</v>
      </c>
      <c r="D66" s="98">
        <f t="shared" si="22"/>
        <v>0.10366270675549026</v>
      </c>
      <c r="E66" s="98">
        <f t="shared" si="22"/>
        <v>0.28564731952612288</v>
      </c>
      <c r="F66" s="98">
        <f t="shared" si="22"/>
        <v>0.55262924536667557</v>
      </c>
      <c r="G66" s="98">
        <f t="shared" si="22"/>
        <v>0.23652694610778444</v>
      </c>
      <c r="H66" s="98">
        <f t="shared" si="22"/>
        <v>10.736842105263158</v>
      </c>
      <c r="I66" s="98">
        <f t="shared" si="22"/>
        <v>1.8173839662447258</v>
      </c>
      <c r="J66" s="98">
        <f t="shared" si="22"/>
        <v>-6.945934256055363</v>
      </c>
      <c r="K66" s="98">
        <f t="shared" si="22"/>
        <v>-0.88261295109399174</v>
      </c>
      <c r="L66" s="98">
        <f t="shared" si="22"/>
        <v>-8.7546156428331662E-2</v>
      </c>
      <c r="M66" s="98">
        <f t="shared" si="22"/>
        <v>1.896245084040981E-2</v>
      </c>
    </row>
    <row r="67" spans="1:13" ht="15.75">
      <c r="A67" s="88" t="s">
        <v>16</v>
      </c>
      <c r="B67" s="89">
        <v>-2869</v>
      </c>
      <c r="C67" s="89">
        <v>5419</v>
      </c>
      <c r="D67" s="89">
        <v>5308</v>
      </c>
      <c r="E67" s="89">
        <v>6801</v>
      </c>
      <c r="F67" s="89">
        <v>7669</v>
      </c>
      <c r="G67" s="89">
        <v>9084</v>
      </c>
      <c r="H67" s="89">
        <v>746</v>
      </c>
      <c r="I67" s="89">
        <v>-89</v>
      </c>
      <c r="J67" s="89">
        <v>-10806</v>
      </c>
      <c r="K67" s="89">
        <v>-13045</v>
      </c>
      <c r="L67" s="89">
        <v>4294</v>
      </c>
      <c r="M67" s="89">
        <v>6129</v>
      </c>
    </row>
    <row r="68" spans="1:13" ht="15.75">
      <c r="A68" s="88" t="s">
        <v>166</v>
      </c>
      <c r="B68" s="89">
        <v>220234</v>
      </c>
      <c r="C68" s="89">
        <v>223797</v>
      </c>
      <c r="D68" s="89">
        <v>236624</v>
      </c>
      <c r="E68" s="89">
        <v>135884</v>
      </c>
      <c r="F68" s="89">
        <v>111662</v>
      </c>
      <c r="G68" s="89">
        <v>119541</v>
      </c>
      <c r="H68" s="89">
        <v>127599</v>
      </c>
      <c r="I68" s="89">
        <v>121073</v>
      </c>
      <c r="J68" s="89">
        <v>141072</v>
      </c>
      <c r="K68" s="89">
        <v>219126</v>
      </c>
      <c r="L68" s="89">
        <v>232372</v>
      </c>
      <c r="M68" s="89">
        <v>126340</v>
      </c>
    </row>
    <row r="69" spans="1:13" ht="15.75">
      <c r="A69" s="90" t="s">
        <v>184</v>
      </c>
      <c r="B69" s="98">
        <f t="shared" ref="B69:M69" si="23">B67/B68</f>
        <v>-1.3027053043580919E-2</v>
      </c>
      <c r="C69" s="98">
        <f t="shared" si="23"/>
        <v>2.4213908139966132E-2</v>
      </c>
      <c r="D69" s="98">
        <f t="shared" si="23"/>
        <v>2.2432213131381433E-2</v>
      </c>
      <c r="E69" s="98">
        <f t="shared" si="23"/>
        <v>5.0050042683465308E-2</v>
      </c>
      <c r="F69" s="98">
        <f t="shared" si="23"/>
        <v>6.8680482169404089E-2</v>
      </c>
      <c r="G69" s="98">
        <f t="shared" si="23"/>
        <v>7.5990664290912738E-2</v>
      </c>
      <c r="H69" s="98">
        <f t="shared" si="23"/>
        <v>5.8464408028276087E-3</v>
      </c>
      <c r="I69" s="98">
        <f t="shared" si="23"/>
        <v>-7.3509370379853478E-4</v>
      </c>
      <c r="J69" s="98">
        <f t="shared" si="23"/>
        <v>-7.6599183395712825E-2</v>
      </c>
      <c r="K69" s="98">
        <f t="shared" si="23"/>
        <v>-5.9531958781705502E-2</v>
      </c>
      <c r="L69" s="98">
        <f t="shared" si="23"/>
        <v>1.8478990584063486E-2</v>
      </c>
      <c r="M69" s="98">
        <f t="shared" si="23"/>
        <v>4.8511951875890455E-2</v>
      </c>
    </row>
    <row r="71" spans="1:13" ht="15.75">
      <c r="A71" s="87" t="s">
        <v>185</v>
      </c>
      <c r="B71" s="87" t="s">
        <v>200</v>
      </c>
      <c r="C71" s="87">
        <v>2016</v>
      </c>
      <c r="D71" s="87">
        <f t="shared" ref="D71:M71" si="24">C71-1</f>
        <v>2015</v>
      </c>
      <c r="E71" s="87">
        <f t="shared" si="24"/>
        <v>2014</v>
      </c>
      <c r="F71" s="87">
        <f t="shared" si="24"/>
        <v>2013</v>
      </c>
      <c r="G71" s="87">
        <f t="shared" si="24"/>
        <v>2012</v>
      </c>
      <c r="H71" s="87">
        <f t="shared" si="24"/>
        <v>2011</v>
      </c>
      <c r="I71" s="87">
        <f t="shared" si="24"/>
        <v>2010</v>
      </c>
      <c r="J71" s="87">
        <f t="shared" si="24"/>
        <v>2009</v>
      </c>
      <c r="K71" s="87">
        <f t="shared" si="24"/>
        <v>2008</v>
      </c>
      <c r="L71" s="87">
        <f t="shared" si="24"/>
        <v>2007</v>
      </c>
      <c r="M71" s="87">
        <f t="shared" si="24"/>
        <v>2006</v>
      </c>
    </row>
    <row r="72" spans="1:13" ht="15.75">
      <c r="A72" s="88" t="s">
        <v>186</v>
      </c>
      <c r="B72" s="89">
        <v>105746</v>
      </c>
      <c r="C72" s="89">
        <v>96312</v>
      </c>
      <c r="D72" s="89">
        <v>59332</v>
      </c>
      <c r="E72" s="89">
        <v>53291</v>
      </c>
      <c r="F72" s="89">
        <v>50415</v>
      </c>
      <c r="G72" s="89">
        <v>56182</v>
      </c>
      <c r="H72" s="89">
        <v>40676</v>
      </c>
      <c r="I72" s="89">
        <v>47470</v>
      </c>
      <c r="J72" s="89">
        <v>82980</v>
      </c>
      <c r="K72" s="89">
        <v>87286</v>
      </c>
      <c r="L72" s="89">
        <v>41628</v>
      </c>
      <c r="M72" s="89">
        <v>44151</v>
      </c>
    </row>
    <row r="73" spans="1:13" ht="15.75">
      <c r="A73" s="88" t="s">
        <v>187</v>
      </c>
      <c r="B73" s="89">
        <v>97589</v>
      </c>
      <c r="C73" s="89">
        <v>105746</v>
      </c>
      <c r="D73" s="89">
        <v>96312</v>
      </c>
      <c r="E73" s="89">
        <v>59332</v>
      </c>
      <c r="F73" s="89">
        <v>53291</v>
      </c>
      <c r="G73" s="89">
        <v>50415</v>
      </c>
      <c r="H73" s="89">
        <v>56182</v>
      </c>
      <c r="I73" s="89">
        <v>40676</v>
      </c>
      <c r="J73" s="89">
        <v>47470</v>
      </c>
      <c r="K73" s="89">
        <v>82980</v>
      </c>
      <c r="L73" s="89">
        <v>87286</v>
      </c>
      <c r="M73" s="89">
        <v>41628</v>
      </c>
    </row>
    <row r="74" spans="1:13" ht="15.75">
      <c r="A74" s="88" t="s">
        <v>188</v>
      </c>
      <c r="B74" s="89">
        <f>AVERAGE(B72:B73)</f>
        <v>101667.5</v>
      </c>
      <c r="C74" s="89">
        <f>AVERAGE(C72:C73)</f>
        <v>101029</v>
      </c>
      <c r="D74" s="89">
        <f t="shared" ref="D74:M74" si="25">AVERAGE(D72:D73)</f>
        <v>77822</v>
      </c>
      <c r="E74" s="89">
        <f t="shared" si="25"/>
        <v>56311.5</v>
      </c>
      <c r="F74" s="89">
        <f t="shared" si="25"/>
        <v>51853</v>
      </c>
      <c r="G74" s="89">
        <f t="shared" si="25"/>
        <v>53298.5</v>
      </c>
      <c r="H74" s="89">
        <f t="shared" si="25"/>
        <v>48429</v>
      </c>
      <c r="I74" s="89">
        <f t="shared" si="25"/>
        <v>44073</v>
      </c>
      <c r="J74" s="89">
        <f t="shared" si="25"/>
        <v>65225</v>
      </c>
      <c r="K74" s="89">
        <f t="shared" si="25"/>
        <v>85133</v>
      </c>
      <c r="L74" s="89">
        <f t="shared" si="25"/>
        <v>64457</v>
      </c>
      <c r="M74" s="89">
        <f t="shared" si="25"/>
        <v>42889.5</v>
      </c>
    </row>
    <row r="75" spans="1:13" ht="15.75">
      <c r="A75" s="88" t="s">
        <v>170</v>
      </c>
      <c r="B75" s="89">
        <v>185558</v>
      </c>
      <c r="C75" s="89">
        <v>196180</v>
      </c>
      <c r="D75" s="89">
        <v>164159</v>
      </c>
      <c r="E75" s="89">
        <v>136574</v>
      </c>
      <c r="F75" s="89">
        <v>130482</v>
      </c>
      <c r="G75" s="89">
        <v>136062</v>
      </c>
      <c r="H75" s="89">
        <v>119650</v>
      </c>
      <c r="I75" s="89">
        <v>109283</v>
      </c>
      <c r="J75" s="89">
        <v>139957</v>
      </c>
      <c r="K75" s="89">
        <v>205983</v>
      </c>
      <c r="L75" s="89">
        <v>180844</v>
      </c>
      <c r="M75" s="89">
        <v>100621</v>
      </c>
    </row>
    <row r="76" spans="1:13" ht="15.75">
      <c r="A76" s="101" t="s">
        <v>198</v>
      </c>
      <c r="B76" s="102">
        <f>(B74*365)/B75</f>
        <v>199.9840346414598</v>
      </c>
      <c r="C76" s="102">
        <f>(C74*365)/C75</f>
        <v>187.96811601590377</v>
      </c>
      <c r="D76" s="102">
        <f t="shared" ref="D76:M76" si="26">(D74*365)/D75</f>
        <v>173.03364421079564</v>
      </c>
      <c r="E76" s="102">
        <f t="shared" si="26"/>
        <v>150.49495145488893</v>
      </c>
      <c r="F76" s="102">
        <f t="shared" si="26"/>
        <v>145.04947042503946</v>
      </c>
      <c r="G76" s="102">
        <f t="shared" si="26"/>
        <v>142.97858696770589</v>
      </c>
      <c r="H76" s="102">
        <f t="shared" si="26"/>
        <v>147.73577099874635</v>
      </c>
      <c r="I76" s="102">
        <f t="shared" si="26"/>
        <v>147.20171481383198</v>
      </c>
      <c r="J76" s="102">
        <f t="shared" si="26"/>
        <v>170.10313882120937</v>
      </c>
      <c r="K76" s="102">
        <f t="shared" si="26"/>
        <v>150.85490064714079</v>
      </c>
      <c r="L76" s="102">
        <f t="shared" si="26"/>
        <v>130.09447369003118</v>
      </c>
      <c r="M76" s="102">
        <f t="shared" si="26"/>
        <v>155.58051997098022</v>
      </c>
    </row>
    <row r="77" spans="1:13" ht="15.75">
      <c r="A77" s="88" t="s">
        <v>189</v>
      </c>
      <c r="B77" s="89">
        <v>16184</v>
      </c>
      <c r="C77" s="89">
        <v>23672</v>
      </c>
      <c r="D77" s="89">
        <v>28105</v>
      </c>
      <c r="E77" s="89">
        <v>22533</v>
      </c>
      <c r="F77" s="89">
        <v>31378</v>
      </c>
      <c r="G77" s="89">
        <v>31419</v>
      </c>
      <c r="H77" s="89">
        <v>35784</v>
      </c>
      <c r="I77" s="89">
        <v>42727</v>
      </c>
      <c r="J77" s="89">
        <v>62077</v>
      </c>
      <c r="K77" s="89">
        <v>65996</v>
      </c>
      <c r="L77" s="89">
        <v>34296</v>
      </c>
      <c r="M77" s="89">
        <v>27161</v>
      </c>
    </row>
    <row r="78" spans="1:13" ht="15.75">
      <c r="A78" s="88" t="s">
        <v>190</v>
      </c>
      <c r="B78" s="89">
        <v>23554</v>
      </c>
      <c r="C78" s="89">
        <v>16184</v>
      </c>
      <c r="D78" s="89">
        <v>23672</v>
      </c>
      <c r="E78" s="89">
        <v>28105</v>
      </c>
      <c r="F78" s="89">
        <v>22533</v>
      </c>
      <c r="G78" s="89">
        <v>31378</v>
      </c>
      <c r="H78" s="89">
        <v>31419</v>
      </c>
      <c r="I78" s="89">
        <v>35784</v>
      </c>
      <c r="J78" s="89">
        <v>42727</v>
      </c>
      <c r="K78" s="89">
        <v>62077</v>
      </c>
      <c r="L78" s="89">
        <v>65996</v>
      </c>
      <c r="M78" s="89">
        <v>34296</v>
      </c>
    </row>
    <row r="79" spans="1:13" ht="15.75">
      <c r="A79" s="88" t="s">
        <v>191</v>
      </c>
      <c r="B79" s="89">
        <f>AVERAGE(B77:B78)</f>
        <v>19869</v>
      </c>
      <c r="C79" s="89">
        <f>AVERAGE(C77:C78)</f>
        <v>19928</v>
      </c>
      <c r="D79" s="89">
        <f t="shared" ref="D79:M79" si="27">AVERAGE(D77:D78)</f>
        <v>25888.5</v>
      </c>
      <c r="E79" s="89">
        <f t="shared" si="27"/>
        <v>25319</v>
      </c>
      <c r="F79" s="89">
        <f t="shared" si="27"/>
        <v>26955.5</v>
      </c>
      <c r="G79" s="89">
        <f t="shared" si="27"/>
        <v>31398.5</v>
      </c>
      <c r="H79" s="89">
        <f t="shared" si="27"/>
        <v>33601.5</v>
      </c>
      <c r="I79" s="89">
        <f t="shared" si="27"/>
        <v>39255.5</v>
      </c>
      <c r="J79" s="89">
        <f t="shared" si="27"/>
        <v>52402</v>
      </c>
      <c r="K79" s="89">
        <f t="shared" si="27"/>
        <v>64036.5</v>
      </c>
      <c r="L79" s="89">
        <f t="shared" si="27"/>
        <v>50146</v>
      </c>
      <c r="M79" s="89">
        <f t="shared" si="27"/>
        <v>30728.5</v>
      </c>
    </row>
    <row r="80" spans="1:13" ht="15.75">
      <c r="A80" s="88" t="s">
        <v>192</v>
      </c>
      <c r="B80" s="89">
        <f>167482-40112+39027</f>
        <v>166397</v>
      </c>
      <c r="C80" s="89">
        <v>167482</v>
      </c>
      <c r="D80" s="89">
        <v>138250</v>
      </c>
      <c r="E80" s="89">
        <v>114332</v>
      </c>
      <c r="F80" s="89">
        <v>109367</v>
      </c>
      <c r="G80" s="89">
        <v>113793</v>
      </c>
      <c r="H80" s="89">
        <v>104990</v>
      </c>
      <c r="I80" s="89">
        <v>94808</v>
      </c>
      <c r="J80" s="89">
        <v>130282</v>
      </c>
      <c r="K80" s="89">
        <v>189239</v>
      </c>
      <c r="L80" s="89">
        <v>155287</v>
      </c>
      <c r="M80" s="89">
        <v>84360</v>
      </c>
    </row>
    <row r="81" spans="1:13" s="100" customFormat="1" ht="15.75">
      <c r="A81" s="101" t="s">
        <v>193</v>
      </c>
      <c r="B81" s="102">
        <f>(B79*365)/B80</f>
        <v>43.583628310606564</v>
      </c>
      <c r="C81" s="102">
        <f>(C79*365)/C80</f>
        <v>43.429861119403874</v>
      </c>
      <c r="D81" s="102">
        <f t="shared" ref="D81:M81" si="28">(D79*365)/D80</f>
        <v>68.349385171790232</v>
      </c>
      <c r="E81" s="102">
        <f t="shared" si="28"/>
        <v>80.829820172829997</v>
      </c>
      <c r="F81" s="102">
        <f t="shared" si="28"/>
        <v>89.960934285479169</v>
      </c>
      <c r="G81" s="102">
        <f t="shared" si="28"/>
        <v>100.71315898165967</v>
      </c>
      <c r="H81" s="102">
        <f t="shared" si="28"/>
        <v>116.81633965139537</v>
      </c>
      <c r="I81" s="102">
        <f t="shared" si="28"/>
        <v>151.12920323179478</v>
      </c>
      <c r="J81" s="102">
        <f t="shared" si="28"/>
        <v>146.81022704594648</v>
      </c>
      <c r="K81" s="102">
        <f t="shared" si="28"/>
        <v>123.5121856488356</v>
      </c>
      <c r="L81" s="102">
        <f t="shared" si="28"/>
        <v>117.8674969572469</v>
      </c>
      <c r="M81" s="102">
        <f t="shared" si="28"/>
        <v>132.95285087719299</v>
      </c>
    </row>
    <row r="82" spans="1:13" ht="15.75">
      <c r="A82" s="88" t="s">
        <v>194</v>
      </c>
      <c r="B82" s="89">
        <v>55126</v>
      </c>
      <c r="C82" s="89">
        <v>42587</v>
      </c>
      <c r="D82" s="89">
        <v>46793</v>
      </c>
      <c r="E82" s="89">
        <v>31566</v>
      </c>
      <c r="F82" s="89">
        <v>34418</v>
      </c>
      <c r="G82" s="89">
        <v>31859</v>
      </c>
      <c r="H82" s="89">
        <v>20616</v>
      </c>
      <c r="I82" s="89">
        <v>29049</v>
      </c>
      <c r="J82" s="89">
        <v>51972</v>
      </c>
      <c r="K82" s="89">
        <v>52442</v>
      </c>
      <c r="L82" s="89">
        <v>19864</v>
      </c>
      <c r="M82" s="89">
        <v>8987</v>
      </c>
    </row>
    <row r="83" spans="1:13" ht="15.75">
      <c r="A83" s="88" t="s">
        <v>195</v>
      </c>
      <c r="B83" s="89">
        <v>55348</v>
      </c>
      <c r="C83" s="89">
        <v>55126</v>
      </c>
      <c r="D83" s="89">
        <v>42587</v>
      </c>
      <c r="E83" s="89">
        <v>46793</v>
      </c>
      <c r="F83" s="89">
        <v>31566</v>
      </c>
      <c r="G83" s="89">
        <v>34418</v>
      </c>
      <c r="H83" s="89">
        <v>31859</v>
      </c>
      <c r="I83" s="89">
        <v>20616</v>
      </c>
      <c r="J83" s="89">
        <v>29049</v>
      </c>
      <c r="K83" s="89">
        <v>51972</v>
      </c>
      <c r="L83" s="89">
        <v>52442</v>
      </c>
      <c r="M83" s="89">
        <v>19864</v>
      </c>
    </row>
    <row r="84" spans="1:13" ht="15.75">
      <c r="A84" s="88" t="s">
        <v>196</v>
      </c>
      <c r="B84" s="89">
        <f>AVERAGE(B82:B83)</f>
        <v>55237</v>
      </c>
      <c r="C84" s="89">
        <f>AVERAGE(C82:C83)</f>
        <v>48856.5</v>
      </c>
      <c r="D84" s="89">
        <f t="shared" ref="D84:M84" si="29">AVERAGE(D82:D83)</f>
        <v>44690</v>
      </c>
      <c r="E84" s="89">
        <f t="shared" si="29"/>
        <v>39179.5</v>
      </c>
      <c r="F84" s="89">
        <f t="shared" si="29"/>
        <v>32992</v>
      </c>
      <c r="G84" s="89">
        <f t="shared" si="29"/>
        <v>33138.5</v>
      </c>
      <c r="H84" s="89">
        <f t="shared" si="29"/>
        <v>26237.5</v>
      </c>
      <c r="I84" s="89">
        <f t="shared" si="29"/>
        <v>24832.5</v>
      </c>
      <c r="J84" s="89">
        <f t="shared" si="29"/>
        <v>40510.5</v>
      </c>
      <c r="K84" s="89">
        <f t="shared" si="29"/>
        <v>52207</v>
      </c>
      <c r="L84" s="89">
        <f t="shared" si="29"/>
        <v>36153</v>
      </c>
      <c r="M84" s="89">
        <f t="shared" si="29"/>
        <v>14425.5</v>
      </c>
    </row>
    <row r="85" spans="1:13" ht="15.75">
      <c r="A85" s="88" t="s">
        <v>192</v>
      </c>
      <c r="B85" s="89">
        <f>167482-40112+39027</f>
        <v>166397</v>
      </c>
      <c r="C85" s="89">
        <v>167482</v>
      </c>
      <c r="D85" s="89">
        <v>138250</v>
      </c>
      <c r="E85" s="89">
        <v>114332</v>
      </c>
      <c r="F85" s="89">
        <v>109367</v>
      </c>
      <c r="G85" s="89">
        <v>113793</v>
      </c>
      <c r="H85" s="89">
        <v>104990</v>
      </c>
      <c r="I85" s="89">
        <v>94808</v>
      </c>
      <c r="J85" s="89">
        <v>130282</v>
      </c>
      <c r="K85" s="89">
        <v>189239</v>
      </c>
      <c r="L85" s="89">
        <v>155287</v>
      </c>
      <c r="M85" s="89">
        <v>84360</v>
      </c>
    </row>
    <row r="86" spans="1:13" s="100" customFormat="1" ht="15.75">
      <c r="A86" s="101" t="s">
        <v>197</v>
      </c>
      <c r="B86" s="102">
        <f t="shared" ref="B86:M86" si="30">(B84*365)/B85</f>
        <v>121.16507509149804</v>
      </c>
      <c r="C86" s="102">
        <f t="shared" si="30"/>
        <v>106.47485998495361</v>
      </c>
      <c r="D86" s="102">
        <f t="shared" si="30"/>
        <v>117.9880650994575</v>
      </c>
      <c r="E86" s="102">
        <f t="shared" si="30"/>
        <v>125.07887118217123</v>
      </c>
      <c r="F86" s="102">
        <f t="shared" si="30"/>
        <v>110.10707068859894</v>
      </c>
      <c r="G86" s="102">
        <f t="shared" si="30"/>
        <v>106.29434587364777</v>
      </c>
      <c r="H86" s="102">
        <f t="shared" si="30"/>
        <v>91.215234784265164</v>
      </c>
      <c r="I86" s="102">
        <f t="shared" si="30"/>
        <v>95.602296219728288</v>
      </c>
      <c r="J86" s="102">
        <f t="shared" si="30"/>
        <v>113.49482276907017</v>
      </c>
      <c r="K86" s="102">
        <f t="shared" si="30"/>
        <v>100.69570754442795</v>
      </c>
      <c r="L86" s="102">
        <f t="shared" si="30"/>
        <v>84.97713910372407</v>
      </c>
      <c r="M86" s="102">
        <f t="shared" si="30"/>
        <v>62.414740398293027</v>
      </c>
    </row>
    <row r="87" spans="1:13" ht="15.75">
      <c r="A87" s="88" t="s">
        <v>198</v>
      </c>
      <c r="B87" s="89">
        <f>B76</f>
        <v>199.9840346414598</v>
      </c>
      <c r="C87" s="89">
        <v>187.96811601590377</v>
      </c>
      <c r="D87" s="89">
        <v>173.03364421079564</v>
      </c>
      <c r="E87" s="89">
        <v>150.49495145488893</v>
      </c>
      <c r="F87" s="89">
        <v>145.04947042503946</v>
      </c>
      <c r="G87" s="89">
        <v>142.97858696770589</v>
      </c>
      <c r="H87" s="89">
        <v>147.73577099874635</v>
      </c>
      <c r="I87" s="89">
        <v>147.20171481383198</v>
      </c>
      <c r="J87" s="89">
        <v>170.10313882120937</v>
      </c>
      <c r="K87" s="89">
        <v>150.85490064714079</v>
      </c>
      <c r="L87" s="89">
        <v>130.09447369003118</v>
      </c>
      <c r="M87" s="89">
        <v>155.58051997098022</v>
      </c>
    </row>
    <row r="88" spans="1:13" ht="15.75">
      <c r="A88" s="88" t="s">
        <v>193</v>
      </c>
      <c r="B88" s="89">
        <f>B81</f>
        <v>43.583628310606564</v>
      </c>
      <c r="C88" s="89">
        <v>43.429861119403874</v>
      </c>
      <c r="D88" s="89">
        <v>68.349385171790232</v>
      </c>
      <c r="E88" s="89">
        <v>80.829820172829997</v>
      </c>
      <c r="F88" s="89">
        <v>89.960934285479169</v>
      </c>
      <c r="G88" s="89">
        <v>100.71315898165967</v>
      </c>
      <c r="H88" s="89">
        <v>116.81633965139537</v>
      </c>
      <c r="I88" s="89">
        <v>151.12920323179478</v>
      </c>
      <c r="J88" s="89">
        <v>146.81022704594648</v>
      </c>
      <c r="K88" s="89">
        <v>123.5121856488356</v>
      </c>
      <c r="L88" s="89">
        <v>117.8674969572469</v>
      </c>
      <c r="M88" s="89">
        <v>132.95285087719299</v>
      </c>
    </row>
    <row r="89" spans="1:13" ht="15.75">
      <c r="A89" s="88" t="s">
        <v>197</v>
      </c>
      <c r="B89" s="89">
        <f>B86</f>
        <v>121.16507509149804</v>
      </c>
      <c r="C89" s="89">
        <v>106.47485998495361</v>
      </c>
      <c r="D89" s="89">
        <v>117.9880650994575</v>
      </c>
      <c r="E89" s="89">
        <v>125.07887118217123</v>
      </c>
      <c r="F89" s="89">
        <v>110.10707068859894</v>
      </c>
      <c r="G89" s="89">
        <v>106.29434587364777</v>
      </c>
      <c r="H89" s="89">
        <v>91.215234784265164</v>
      </c>
      <c r="I89" s="89">
        <v>95.602296219728288</v>
      </c>
      <c r="J89" s="89">
        <v>113.49482276907017</v>
      </c>
      <c r="K89" s="89">
        <v>100.69570754442795</v>
      </c>
      <c r="L89" s="89">
        <v>84.97713910372407</v>
      </c>
      <c r="M89" s="89">
        <v>62.414740398293027</v>
      </c>
    </row>
    <row r="90" spans="1:13" s="100" customFormat="1" ht="15.75">
      <c r="A90" s="101" t="s">
        <v>199</v>
      </c>
      <c r="B90" s="102">
        <f>(B87+B88-B89)</f>
        <v>122.40258786056833</v>
      </c>
      <c r="C90" s="102">
        <f>(C87+C88-C89)</f>
        <v>124.92311715035405</v>
      </c>
      <c r="D90" s="102">
        <f t="shared" ref="D90:M90" si="31">(D87+D88-D89)</f>
        <v>123.39496428312837</v>
      </c>
      <c r="E90" s="102">
        <f t="shared" si="31"/>
        <v>106.24590044554769</v>
      </c>
      <c r="F90" s="102">
        <f t="shared" si="31"/>
        <v>124.90333402191969</v>
      </c>
      <c r="G90" s="102">
        <f t="shared" si="31"/>
        <v>137.39740007571777</v>
      </c>
      <c r="H90" s="102">
        <f t="shared" si="31"/>
        <v>173.33687586587652</v>
      </c>
      <c r="I90" s="102">
        <f t="shared" si="31"/>
        <v>202.72862182589844</v>
      </c>
      <c r="J90" s="102">
        <f t="shared" si="31"/>
        <v>203.41854309808568</v>
      </c>
      <c r="K90" s="102">
        <f t="shared" si="31"/>
        <v>173.67137875154845</v>
      </c>
      <c r="L90" s="102">
        <f t="shared" si="31"/>
        <v>162.98483154355398</v>
      </c>
      <c r="M90" s="102">
        <f t="shared" si="31"/>
        <v>226.11863044988019</v>
      </c>
    </row>
    <row r="92" spans="1:13" ht="15.75">
      <c r="A92" s="87" t="s">
        <v>201</v>
      </c>
      <c r="B92" s="87" t="s">
        <v>200</v>
      </c>
      <c r="C92" s="87">
        <v>2016</v>
      </c>
      <c r="D92" s="87">
        <f t="shared" ref="D92:M92" si="32">C92-1</f>
        <v>2015</v>
      </c>
      <c r="E92" s="87">
        <f t="shared" si="32"/>
        <v>2014</v>
      </c>
      <c r="F92" s="87">
        <f t="shared" si="32"/>
        <v>2013</v>
      </c>
      <c r="G92" s="87">
        <f t="shared" si="32"/>
        <v>2012</v>
      </c>
      <c r="H92" s="87">
        <f t="shared" si="32"/>
        <v>2011</v>
      </c>
      <c r="I92" s="87">
        <f t="shared" si="32"/>
        <v>2010</v>
      </c>
      <c r="J92" s="87">
        <f t="shared" si="32"/>
        <v>2009</v>
      </c>
      <c r="K92" s="87">
        <f t="shared" si="32"/>
        <v>2008</v>
      </c>
      <c r="L92" s="87">
        <f t="shared" si="32"/>
        <v>2007</v>
      </c>
      <c r="M92" s="87">
        <f t="shared" si="32"/>
        <v>2006</v>
      </c>
    </row>
    <row r="93" spans="1:13" s="100" customFormat="1" ht="15.75">
      <c r="A93" s="101" t="s">
        <v>151</v>
      </c>
      <c r="B93" s="107">
        <v>-5.7378861939195953E-2</v>
      </c>
      <c r="C93" s="107">
        <v>-0.06</v>
      </c>
      <c r="D93" s="107">
        <v>7.0000274387905001E-2</v>
      </c>
      <c r="E93" s="107">
        <v>9.0000352784449303E-2</v>
      </c>
      <c r="F93" s="107">
        <v>0.130000509577538</v>
      </c>
      <c r="G93" s="107">
        <v>0</v>
      </c>
      <c r="H93" s="107">
        <v>-0.25000097995680398</v>
      </c>
      <c r="I93" s="107">
        <v>-0.58000227349978395</v>
      </c>
      <c r="J93" s="107">
        <v>-2.17000850602505</v>
      </c>
      <c r="K93" s="107">
        <v>-1.9200075260682501</v>
      </c>
      <c r="L93" s="107">
        <v>-0.36000141113779699</v>
      </c>
      <c r="M93" s="107">
        <v>7.0000274387905001E-2</v>
      </c>
    </row>
    <row r="94" spans="1:13" ht="15.75">
      <c r="A94" s="88" t="s">
        <v>202</v>
      </c>
      <c r="B94" s="89" t="s">
        <v>203</v>
      </c>
      <c r="C94" s="89">
        <v>78957</v>
      </c>
      <c r="D94" s="89">
        <v>70046</v>
      </c>
      <c r="E94" s="89">
        <v>24883</v>
      </c>
      <c r="F94" s="89">
        <v>10008</v>
      </c>
      <c r="G94" s="89">
        <v>15747</v>
      </c>
      <c r="H94" s="89">
        <v>24095</v>
      </c>
      <c r="I94" s="89">
        <v>14718</v>
      </c>
      <c r="J94" s="89">
        <v>15240</v>
      </c>
      <c r="K94" s="89">
        <v>9340</v>
      </c>
      <c r="L94" s="89">
        <v>36552</v>
      </c>
      <c r="M94" s="89">
        <v>29467</v>
      </c>
    </row>
    <row r="95" spans="1:13" ht="15.75">
      <c r="A95" s="88" t="s">
        <v>28</v>
      </c>
      <c r="B95" s="89">
        <v>-9516</v>
      </c>
      <c r="C95" s="89">
        <v>-9418</v>
      </c>
      <c r="D95" s="89">
        <v>8185</v>
      </c>
      <c r="E95" s="89">
        <v>6703</v>
      </c>
      <c r="F95" s="89">
        <v>6232</v>
      </c>
      <c r="G95" s="89">
        <v>79</v>
      </c>
      <c r="H95" s="89">
        <v>-9588</v>
      </c>
      <c r="I95" s="89">
        <v>-10768</v>
      </c>
      <c r="J95" s="89">
        <v>-32118</v>
      </c>
      <c r="K95" s="89">
        <v>-27955</v>
      </c>
      <c r="L95" s="89">
        <v>-5216</v>
      </c>
      <c r="M95" s="89">
        <v>757</v>
      </c>
    </row>
    <row r="96" spans="1:13" s="100" customFormat="1" ht="15.75">
      <c r="A96" s="108" t="s">
        <v>143</v>
      </c>
      <c r="B96" s="109">
        <v>-4.5</v>
      </c>
      <c r="C96" s="109">
        <f>C94/C95</f>
        <v>-8.3836270970482047</v>
      </c>
      <c r="D96" s="109">
        <f t="shared" ref="D96:M96" si="33">D94/D95</f>
        <v>8.5578497251069034</v>
      </c>
      <c r="E96" s="109">
        <f t="shared" si="33"/>
        <v>3.712218409667313</v>
      </c>
      <c r="F96" s="109">
        <f t="shared" si="33"/>
        <v>1.6059050064184852</v>
      </c>
      <c r="G96" s="109">
        <f t="shared" si="33"/>
        <v>199.32911392405063</v>
      </c>
      <c r="H96" s="109">
        <f t="shared" si="33"/>
        <v>-2.5130371297455154</v>
      </c>
      <c r="I96" s="109">
        <f t="shared" si="33"/>
        <v>-1.3668276374442794</v>
      </c>
      <c r="J96" s="109">
        <f t="shared" si="33"/>
        <v>-0.47450028021670093</v>
      </c>
      <c r="K96" s="109">
        <f t="shared" si="33"/>
        <v>-0.33410838848148811</v>
      </c>
      <c r="L96" s="109">
        <f t="shared" si="33"/>
        <v>-7.007668711656442</v>
      </c>
      <c r="M96" s="109">
        <f t="shared" si="33"/>
        <v>38.926023778071333</v>
      </c>
    </row>
    <row r="97" spans="1:15" ht="15.75">
      <c r="A97" s="88" t="s">
        <v>202</v>
      </c>
      <c r="B97" s="89" t="s">
        <v>203</v>
      </c>
      <c r="C97" s="89">
        <v>78957</v>
      </c>
      <c r="D97" s="89">
        <v>70046</v>
      </c>
      <c r="E97" s="89">
        <v>24883</v>
      </c>
      <c r="F97" s="89">
        <v>10008</v>
      </c>
      <c r="G97" s="89">
        <v>15747</v>
      </c>
      <c r="H97" s="89">
        <v>24095</v>
      </c>
      <c r="I97" s="89">
        <v>14718</v>
      </c>
      <c r="J97" s="89">
        <v>15240</v>
      </c>
      <c r="K97" s="89">
        <v>9340</v>
      </c>
      <c r="L97" s="89">
        <v>36552</v>
      </c>
      <c r="M97" s="89">
        <v>29467</v>
      </c>
    </row>
    <row r="98" spans="1:15" ht="15.75">
      <c r="A98" s="88" t="s">
        <v>82</v>
      </c>
      <c r="B98" s="89">
        <v>69438</v>
      </c>
      <c r="C98" s="89">
        <v>69586</v>
      </c>
      <c r="D98" s="89">
        <v>78958</v>
      </c>
      <c r="E98" s="89">
        <v>23466</v>
      </c>
      <c r="F98" s="89">
        <v>11277</v>
      </c>
      <c r="G98" s="89">
        <v>334</v>
      </c>
      <c r="H98" s="89">
        <v>-893</v>
      </c>
      <c r="I98" s="89">
        <v>-5925</v>
      </c>
      <c r="J98" s="89">
        <v>4624</v>
      </c>
      <c r="K98" s="89">
        <v>31673</v>
      </c>
      <c r="L98" s="89">
        <v>59580</v>
      </c>
      <c r="M98" s="89">
        <v>39921</v>
      </c>
    </row>
    <row r="99" spans="1:15" s="100" customFormat="1" ht="15.75">
      <c r="A99" s="108" t="s">
        <v>142</v>
      </c>
      <c r="B99" s="109">
        <v>0.62</v>
      </c>
      <c r="C99" s="109">
        <f>C97/C98</f>
        <v>1.134667892966976</v>
      </c>
      <c r="D99" s="109">
        <f t="shared" ref="D99:M99" si="34">D97/D98</f>
        <v>0.88712986651130976</v>
      </c>
      <c r="E99" s="109">
        <f t="shared" si="34"/>
        <v>1.0603852382169947</v>
      </c>
      <c r="F99" s="109">
        <f t="shared" si="34"/>
        <v>0.88747007182761373</v>
      </c>
      <c r="G99" s="109">
        <f t="shared" si="34"/>
        <v>47.146706586826348</v>
      </c>
      <c r="H99" s="109">
        <f t="shared" si="34"/>
        <v>-26.982082866741322</v>
      </c>
      <c r="I99" s="109">
        <f t="shared" si="34"/>
        <v>-2.4840506329113925</v>
      </c>
      <c r="J99" s="109">
        <f t="shared" si="34"/>
        <v>3.2958477508650521</v>
      </c>
      <c r="K99" s="109">
        <f t="shared" si="34"/>
        <v>0.29488839074290407</v>
      </c>
      <c r="L99" s="109">
        <f t="shared" si="34"/>
        <v>0.61349446122860019</v>
      </c>
      <c r="M99" s="109">
        <f t="shared" si="34"/>
        <v>0.73813281230430094</v>
      </c>
    </row>
    <row r="100" spans="1:15" ht="15.75">
      <c r="A100" s="175" t="s">
        <v>147</v>
      </c>
      <c r="B100" s="176">
        <f>B19</f>
        <v>7301</v>
      </c>
      <c r="C100" s="176">
        <v>16564</v>
      </c>
      <c r="D100" s="176">
        <v>12536</v>
      </c>
      <c r="E100" s="176">
        <v>11316</v>
      </c>
      <c r="F100" s="176">
        <v>11932</v>
      </c>
      <c r="G100" s="176">
        <v>13456</v>
      </c>
      <c r="H100" s="176">
        <v>5497</v>
      </c>
      <c r="I100" s="176">
        <v>4698</v>
      </c>
      <c r="J100" s="176">
        <v>-5136</v>
      </c>
      <c r="K100" s="176">
        <v>-4263</v>
      </c>
      <c r="L100" s="176">
        <v>11920</v>
      </c>
      <c r="M100" s="176">
        <v>10662</v>
      </c>
    </row>
    <row r="101" spans="1:15" ht="15.75">
      <c r="A101" s="88" t="s">
        <v>62</v>
      </c>
      <c r="B101" s="89">
        <f>18649+10056</f>
        <v>28705</v>
      </c>
      <c r="C101" s="89">
        <v>22500</v>
      </c>
      <c r="D101" s="89">
        <v>26586</v>
      </c>
      <c r="E101" s="89">
        <v>30264</v>
      </c>
      <c r="F101" s="89">
        <v>32464</v>
      </c>
      <c r="G101" s="89">
        <v>50198</v>
      </c>
      <c r="H101" s="89">
        <v>55546</v>
      </c>
      <c r="I101" s="89">
        <v>57905</v>
      </c>
      <c r="J101" s="89">
        <v>53498</v>
      </c>
      <c r="K101" s="89">
        <v>81307</v>
      </c>
      <c r="L101" s="89">
        <v>40639</v>
      </c>
      <c r="M101" s="89">
        <v>7385</v>
      </c>
    </row>
    <row r="102" spans="1:15" ht="15.75">
      <c r="A102" s="88" t="s">
        <v>71</v>
      </c>
      <c r="B102" s="89">
        <v>51477</v>
      </c>
      <c r="C102" s="89">
        <v>61733</v>
      </c>
      <c r="D102" s="89">
        <v>69134</v>
      </c>
      <c r="E102" s="89">
        <v>22282</v>
      </c>
      <c r="F102" s="89">
        <v>28732</v>
      </c>
      <c r="G102" s="89">
        <v>25114</v>
      </c>
      <c r="H102" s="89">
        <v>29093</v>
      </c>
      <c r="I102" s="89">
        <v>37410</v>
      </c>
      <c r="J102" s="89">
        <v>41643</v>
      </c>
      <c r="K102" s="89">
        <v>34796</v>
      </c>
      <c r="L102" s="89">
        <v>40922</v>
      </c>
      <c r="M102" s="89">
        <v>46995</v>
      </c>
    </row>
    <row r="103" spans="1:15" ht="15.75">
      <c r="A103" s="88" t="s">
        <v>72</v>
      </c>
      <c r="B103" s="89">
        <v>4748</v>
      </c>
      <c r="C103" s="89">
        <v>5951</v>
      </c>
      <c r="D103" s="89">
        <v>8447</v>
      </c>
      <c r="E103" s="89">
        <v>4189</v>
      </c>
      <c r="F103" s="89">
        <v>0</v>
      </c>
      <c r="G103" s="89">
        <v>1606</v>
      </c>
      <c r="H103" s="89">
        <v>1466</v>
      </c>
      <c r="I103" s="89">
        <v>2044</v>
      </c>
      <c r="J103" s="89">
        <v>0</v>
      </c>
      <c r="K103" s="89">
        <v>0</v>
      </c>
      <c r="L103" s="89">
        <v>0</v>
      </c>
      <c r="M103" s="89">
        <v>2627</v>
      </c>
    </row>
    <row r="104" spans="1:15" ht="15.75">
      <c r="A104" s="88" t="s">
        <v>78</v>
      </c>
      <c r="B104" s="89">
        <v>1211</v>
      </c>
      <c r="C104" s="89">
        <v>1359</v>
      </c>
      <c r="D104" s="89">
        <v>2004</v>
      </c>
      <c r="E104" s="89">
        <v>2405</v>
      </c>
      <c r="F104" s="89">
        <v>2587</v>
      </c>
      <c r="G104" s="89">
        <v>3018</v>
      </c>
      <c r="H104" s="89">
        <v>5110</v>
      </c>
      <c r="I104" s="89">
        <v>4925</v>
      </c>
      <c r="J104" s="89">
        <v>4670</v>
      </c>
      <c r="K104" s="89">
        <v>2644</v>
      </c>
      <c r="L104" s="89">
        <v>2845</v>
      </c>
      <c r="M104" s="89">
        <v>0</v>
      </c>
    </row>
    <row r="105" spans="1:15" ht="15.75">
      <c r="A105" s="88" t="s">
        <v>202</v>
      </c>
      <c r="B105" s="89" t="s">
        <v>203</v>
      </c>
      <c r="C105" s="89">
        <v>78957</v>
      </c>
      <c r="D105" s="89">
        <v>70046</v>
      </c>
      <c r="E105" s="89">
        <v>24883</v>
      </c>
      <c r="F105" s="89">
        <v>10008</v>
      </c>
      <c r="G105" s="89">
        <v>15747</v>
      </c>
      <c r="H105" s="89">
        <v>24095</v>
      </c>
      <c r="I105" s="89">
        <v>14718</v>
      </c>
      <c r="J105" s="89">
        <v>15240</v>
      </c>
      <c r="K105" s="89">
        <v>9340</v>
      </c>
      <c r="L105" s="89">
        <v>36552</v>
      </c>
      <c r="M105" s="89">
        <v>29467</v>
      </c>
    </row>
    <row r="106" spans="1:15" ht="15">
      <c r="A106" s="111" t="s">
        <v>204</v>
      </c>
      <c r="B106" s="112">
        <f>SUM(B101:B105)</f>
        <v>86141</v>
      </c>
      <c r="C106" s="112">
        <f t="shared" ref="C106:M106" si="35">SUM(C101:C105)</f>
        <v>170500</v>
      </c>
      <c r="D106" s="112">
        <f t="shared" si="35"/>
        <v>176217</v>
      </c>
      <c r="E106" s="112">
        <f t="shared" si="35"/>
        <v>84023</v>
      </c>
      <c r="F106" s="112">
        <f t="shared" si="35"/>
        <v>73791</v>
      </c>
      <c r="G106" s="112">
        <f t="shared" si="35"/>
        <v>95683</v>
      </c>
      <c r="H106" s="112">
        <f t="shared" si="35"/>
        <v>115310</v>
      </c>
      <c r="I106" s="112">
        <f t="shared" si="35"/>
        <v>117002</v>
      </c>
      <c r="J106" s="112">
        <f t="shared" si="35"/>
        <v>115051</v>
      </c>
      <c r="K106" s="112">
        <f t="shared" si="35"/>
        <v>128087</v>
      </c>
      <c r="L106" s="112">
        <f t="shared" si="35"/>
        <v>120958</v>
      </c>
      <c r="M106" s="112">
        <f t="shared" si="35"/>
        <v>86474</v>
      </c>
    </row>
    <row r="107" spans="1:15" s="100" customFormat="1" ht="15.75">
      <c r="A107" s="108" t="s">
        <v>205</v>
      </c>
      <c r="B107" s="109">
        <f>B106/B100</f>
        <v>11.798520750582112</v>
      </c>
      <c r="C107" s="109">
        <f t="shared" ref="C107:M107" si="36">C106/C100</f>
        <v>10.293407389519439</v>
      </c>
      <c r="D107" s="109">
        <f t="shared" si="36"/>
        <v>14.056876196553924</v>
      </c>
      <c r="E107" s="109">
        <f t="shared" si="36"/>
        <v>7.4251502297631671</v>
      </c>
      <c r="F107" s="109">
        <f t="shared" si="36"/>
        <v>6.1842943345625212</v>
      </c>
      <c r="G107" s="109">
        <f t="shared" si="36"/>
        <v>7.1108055885850181</v>
      </c>
      <c r="H107" s="109">
        <f t="shared" si="36"/>
        <v>20.976896488993997</v>
      </c>
      <c r="I107" s="109">
        <f t="shared" si="36"/>
        <v>24.904640272456366</v>
      </c>
      <c r="J107" s="109">
        <f t="shared" si="36"/>
        <v>-22.400895638629283</v>
      </c>
      <c r="K107" s="109">
        <f t="shared" si="36"/>
        <v>-30.046211588083509</v>
      </c>
      <c r="L107" s="109">
        <f t="shared" si="36"/>
        <v>10.147483221476509</v>
      </c>
      <c r="M107" s="109">
        <f t="shared" si="36"/>
        <v>8.110485837553929</v>
      </c>
    </row>
    <row r="108" spans="1:15" s="100" customFormat="1" ht="15.75">
      <c r="A108" s="108" t="s">
        <v>206</v>
      </c>
      <c r="B108" s="110">
        <f>B100/B106</f>
        <v>8.4756387782821185E-2</v>
      </c>
      <c r="C108" s="110">
        <f t="shared" ref="C108:M108" si="37">C100/C106</f>
        <v>9.7149560117302053E-2</v>
      </c>
      <c r="D108" s="110">
        <f t="shared" si="37"/>
        <v>7.1139560882321234E-2</v>
      </c>
      <c r="E108" s="110">
        <f t="shared" si="37"/>
        <v>0.1346774097568523</v>
      </c>
      <c r="F108" s="110">
        <f t="shared" si="37"/>
        <v>0.16169993630659565</v>
      </c>
      <c r="G108" s="110">
        <f t="shared" si="37"/>
        <v>0.14063104208689109</v>
      </c>
      <c r="H108" s="110">
        <f t="shared" si="37"/>
        <v>4.7671494232937296E-2</v>
      </c>
      <c r="I108" s="110">
        <f t="shared" si="37"/>
        <v>4.0153159775046583E-2</v>
      </c>
      <c r="J108" s="110">
        <f t="shared" si="37"/>
        <v>-4.464107222014585E-2</v>
      </c>
      <c r="K108" s="110">
        <f t="shared" si="37"/>
        <v>-3.3282066095700578E-2</v>
      </c>
      <c r="L108" s="110">
        <f t="shared" si="37"/>
        <v>9.8546602953091159E-2</v>
      </c>
      <c r="M108" s="110">
        <f t="shared" si="37"/>
        <v>0.1232971760297893</v>
      </c>
    </row>
    <row r="109" spans="1:15" ht="15.75">
      <c r="A109" s="88" t="s">
        <v>169</v>
      </c>
      <c r="B109" s="93">
        <v>24109</v>
      </c>
      <c r="C109" s="93">
        <v>26144</v>
      </c>
      <c r="D109" s="93">
        <v>-22990</v>
      </c>
      <c r="E109" s="93">
        <v>13314</v>
      </c>
      <c r="F109" s="93">
        <v>13668</v>
      </c>
      <c r="G109" s="93">
        <v>20225</v>
      </c>
      <c r="H109" s="93">
        <v>4541</v>
      </c>
      <c r="I109" s="93">
        <v>6948</v>
      </c>
      <c r="J109" s="93">
        <v>25382</v>
      </c>
      <c r="K109" s="93">
        <v>-6750</v>
      </c>
      <c r="L109" s="93">
        <v>1130</v>
      </c>
      <c r="M109" s="93">
        <v>15826</v>
      </c>
    </row>
    <row r="110" spans="1:15" s="100" customFormat="1" ht="15.75">
      <c r="A110" s="108" t="s">
        <v>207</v>
      </c>
      <c r="B110" s="110">
        <f>B109/B106</f>
        <v>0.27987833900233339</v>
      </c>
      <c r="C110" s="110">
        <f t="shared" ref="C110:M110" si="38">C109/C106</f>
        <v>0.15333724340175953</v>
      </c>
      <c r="D110" s="110">
        <f t="shared" si="38"/>
        <v>-0.13046414364107889</v>
      </c>
      <c r="E110" s="110">
        <f t="shared" si="38"/>
        <v>0.15845661307023076</v>
      </c>
      <c r="F110" s="110">
        <f t="shared" si="38"/>
        <v>0.18522584054966051</v>
      </c>
      <c r="G110" s="110">
        <f t="shared" si="38"/>
        <v>0.21137506140066678</v>
      </c>
      <c r="H110" s="110">
        <f t="shared" si="38"/>
        <v>3.9380799583730815E-2</v>
      </c>
      <c r="I110" s="110">
        <f t="shared" si="38"/>
        <v>5.9383600280337089E-2</v>
      </c>
      <c r="J110" s="110">
        <f t="shared" si="38"/>
        <v>0.22061520543063512</v>
      </c>
      <c r="K110" s="110">
        <f t="shared" si="38"/>
        <v>-5.2698556449912948E-2</v>
      </c>
      <c r="L110" s="110">
        <f t="shared" si="38"/>
        <v>9.3420856826336423E-3</v>
      </c>
      <c r="M110" s="110">
        <f t="shared" si="38"/>
        <v>0.18301454772532785</v>
      </c>
    </row>
    <row r="111" spans="1:15" ht="15.75">
      <c r="A111" s="88" t="s">
        <v>169</v>
      </c>
      <c r="B111" s="93">
        <v>24109</v>
      </c>
      <c r="C111" s="93">
        <v>26144</v>
      </c>
      <c r="D111" s="93">
        <v>-22990</v>
      </c>
      <c r="E111" s="93">
        <v>13314</v>
      </c>
      <c r="F111" s="93">
        <v>13668</v>
      </c>
      <c r="G111" s="93">
        <v>20225</v>
      </c>
      <c r="H111" s="93">
        <v>4541</v>
      </c>
      <c r="I111" s="93">
        <v>6948</v>
      </c>
      <c r="J111" s="93">
        <v>25382</v>
      </c>
      <c r="K111" s="93">
        <v>-6750</v>
      </c>
      <c r="L111" s="93">
        <v>1130</v>
      </c>
      <c r="M111" s="93">
        <v>15826</v>
      </c>
    </row>
    <row r="112" spans="1:15">
      <c r="A112" s="113" t="s">
        <v>112</v>
      </c>
      <c r="B112" s="114">
        <f>-5501+2176-818</f>
        <v>-4143</v>
      </c>
      <c r="C112" s="114">
        <v>-5501</v>
      </c>
      <c r="D112" s="114">
        <v>-5377</v>
      </c>
      <c r="E112" s="114">
        <v>-6425</v>
      </c>
      <c r="F112" s="114">
        <v>-2379</v>
      </c>
      <c r="G112" s="114">
        <v>-1154</v>
      </c>
      <c r="H112" s="114">
        <v>-852</v>
      </c>
      <c r="I112" s="114">
        <v>-1374</v>
      </c>
      <c r="J112" s="114">
        <v>-5125</v>
      </c>
      <c r="K112" s="114">
        <v>-8078</v>
      </c>
      <c r="L112" s="114">
        <v>-6787</v>
      </c>
      <c r="M112" s="114">
        <v>-4570</v>
      </c>
      <c r="N112" s="19"/>
      <c r="O112" s="19"/>
    </row>
    <row r="113" spans="1:13" s="100" customFormat="1" ht="15.75">
      <c r="A113" s="101" t="s">
        <v>208</v>
      </c>
      <c r="B113" s="102">
        <f>B111+B112</f>
        <v>19966</v>
      </c>
      <c r="C113" s="102">
        <f t="shared" ref="C113:M113" si="39">C111+C112</f>
        <v>20643</v>
      </c>
      <c r="D113" s="102">
        <f t="shared" si="39"/>
        <v>-28367</v>
      </c>
      <c r="E113" s="102">
        <f t="shared" si="39"/>
        <v>6889</v>
      </c>
      <c r="F113" s="102">
        <f t="shared" si="39"/>
        <v>11289</v>
      </c>
      <c r="G113" s="102">
        <f t="shared" si="39"/>
        <v>19071</v>
      </c>
      <c r="H113" s="102">
        <f t="shared" si="39"/>
        <v>3689</v>
      </c>
      <c r="I113" s="102">
        <f t="shared" si="39"/>
        <v>5574</v>
      </c>
      <c r="J113" s="102">
        <f t="shared" si="39"/>
        <v>20257</v>
      </c>
      <c r="K113" s="102">
        <f t="shared" si="39"/>
        <v>-14828</v>
      </c>
      <c r="L113" s="102">
        <f t="shared" si="39"/>
        <v>-5657</v>
      </c>
      <c r="M113" s="102">
        <f t="shared" si="39"/>
        <v>11256</v>
      </c>
    </row>
  </sheetData>
  <pageMargins left="0.7" right="0.7" top="0.75" bottom="0.75" header="0.3" footer="0.3"/>
  <ignoredErrors>
    <ignoredError sqref="C74:M74 C106 D106:M106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47D1-69F6-4B8E-8E1F-AC2AF5F9FC12}">
  <dimension ref="A1:U113"/>
  <sheetViews>
    <sheetView rightToLeft="1" workbookViewId="0">
      <selection activeCell="A3" sqref="A3"/>
    </sheetView>
  </sheetViews>
  <sheetFormatPr defaultRowHeight="14.25"/>
  <cols>
    <col min="1" max="1" width="32" style="86" bestFit="1" customWidth="1"/>
    <col min="2" max="2" width="9.875" style="86" bestFit="1" customWidth="1"/>
    <col min="3" max="4" width="7.875" style="86" bestFit="1" customWidth="1"/>
    <col min="5" max="7" width="7.125" style="86" bestFit="1" customWidth="1"/>
    <col min="8" max="10" width="11.5" style="86" bestFit="1" customWidth="1"/>
    <col min="11" max="11" width="12" style="86" bestFit="1" customWidth="1"/>
    <col min="12" max="13" width="11.5" style="86" bestFit="1" customWidth="1"/>
    <col min="14" max="16384" width="9" style="86"/>
  </cols>
  <sheetData>
    <row r="1" spans="1:21" ht="15.75">
      <c r="A1" s="87" t="s">
        <v>164</v>
      </c>
      <c r="B1" s="87" t="s">
        <v>200</v>
      </c>
      <c r="C1" s="87">
        <v>2016</v>
      </c>
      <c r="D1" s="87">
        <f t="shared" ref="D1:M1" si="0">C1-1</f>
        <v>2015</v>
      </c>
      <c r="E1" s="87">
        <f t="shared" si="0"/>
        <v>2014</v>
      </c>
      <c r="F1" s="87">
        <f t="shared" si="0"/>
        <v>2013</v>
      </c>
      <c r="G1" s="87">
        <f t="shared" si="0"/>
        <v>2012</v>
      </c>
      <c r="H1" s="87">
        <f t="shared" si="0"/>
        <v>2011</v>
      </c>
      <c r="I1" s="87">
        <f t="shared" si="0"/>
        <v>2010</v>
      </c>
      <c r="J1" s="87">
        <f t="shared" si="0"/>
        <v>2009</v>
      </c>
      <c r="K1" s="87">
        <f t="shared" si="0"/>
        <v>2008</v>
      </c>
      <c r="L1" s="87">
        <f t="shared" si="0"/>
        <v>2007</v>
      </c>
      <c r="M1" s="87">
        <f t="shared" si="0"/>
        <v>2006</v>
      </c>
      <c r="O1" s="87" t="s">
        <v>145</v>
      </c>
      <c r="P1" s="87" t="s">
        <v>314</v>
      </c>
      <c r="Q1" s="87">
        <v>2016</v>
      </c>
      <c r="R1" s="87">
        <f t="shared" ref="R1" si="1">Q1-1</f>
        <v>2015</v>
      </c>
      <c r="S1" s="87">
        <f t="shared" ref="S1" si="2">R1-1</f>
        <v>2014</v>
      </c>
      <c r="T1" s="87">
        <f t="shared" ref="T1" si="3">S1-1</f>
        <v>2013</v>
      </c>
      <c r="U1" s="87">
        <f t="shared" ref="U1" si="4">T1-1</f>
        <v>2012</v>
      </c>
    </row>
    <row r="2" spans="1:21" ht="15.75">
      <c r="A2" s="88" t="s">
        <v>163</v>
      </c>
      <c r="B2" s="89">
        <v>139157</v>
      </c>
      <c r="C2" s="89">
        <v>139868</v>
      </c>
      <c r="D2" s="89">
        <v>139760</v>
      </c>
      <c r="E2" s="89">
        <v>97693</v>
      </c>
      <c r="F2" s="89">
        <v>81388</v>
      </c>
      <c r="G2" s="89">
        <v>87374</v>
      </c>
      <c r="H2" s="89">
        <v>91904</v>
      </c>
      <c r="I2" s="89">
        <v>81827</v>
      </c>
      <c r="J2" s="89">
        <v>98411</v>
      </c>
      <c r="K2" s="89">
        <v>154509</v>
      </c>
      <c r="L2" s="89">
        <v>162177</v>
      </c>
      <c r="M2" s="89">
        <v>84235</v>
      </c>
      <c r="O2" s="90" t="s">
        <v>171</v>
      </c>
      <c r="P2" s="91">
        <v>0.31529191677942553</v>
      </c>
      <c r="Q2" s="91">
        <v>0.3109335692614289</v>
      </c>
      <c r="R2" s="91">
        <v>0.33368550950030429</v>
      </c>
      <c r="S2" s="91">
        <v>0.1726914132642548</v>
      </c>
      <c r="T2" s="91">
        <v>0.10099228027439952</v>
      </c>
      <c r="U2" s="91">
        <v>2.7940204615989495E-3</v>
      </c>
    </row>
    <row r="3" spans="1:21" ht="15.75">
      <c r="A3" s="88" t="s">
        <v>58</v>
      </c>
      <c r="B3" s="89">
        <v>93241</v>
      </c>
      <c r="C3" s="89">
        <v>85087</v>
      </c>
      <c r="D3" s="89">
        <v>77853</v>
      </c>
      <c r="E3" s="89">
        <v>83215</v>
      </c>
      <c r="F3" s="89">
        <v>69066</v>
      </c>
      <c r="G3" s="89">
        <v>89469</v>
      </c>
      <c r="H3" s="89">
        <v>92822</v>
      </c>
      <c r="I3" s="89">
        <v>82619</v>
      </c>
      <c r="J3" s="89">
        <v>89381</v>
      </c>
      <c r="K3" s="89">
        <v>144661</v>
      </c>
      <c r="L3" s="89">
        <v>123005</v>
      </c>
      <c r="M3" s="89">
        <v>31833</v>
      </c>
    </row>
    <row r="4" spans="1:21" ht="15.75">
      <c r="A4" s="90" t="s">
        <v>140</v>
      </c>
      <c r="B4" s="91">
        <f>B2/B3</f>
        <v>1.4924443109790757</v>
      </c>
      <c r="C4" s="91">
        <f>C2/C3</f>
        <v>1.6438233807749716</v>
      </c>
      <c r="D4" s="91">
        <f t="shared" ref="D4:M4" si="5">D2/D3</f>
        <v>1.7951780920452647</v>
      </c>
      <c r="E4" s="91">
        <f t="shared" si="5"/>
        <v>1.173983055939434</v>
      </c>
      <c r="F4" s="91">
        <f t="shared" si="5"/>
        <v>1.1784090580024904</v>
      </c>
      <c r="G4" s="91">
        <f t="shared" si="5"/>
        <v>0.97658406822474819</v>
      </c>
      <c r="H4" s="91">
        <f t="shared" si="5"/>
        <v>0.99011010320829118</v>
      </c>
      <c r="I4" s="91">
        <f t="shared" si="5"/>
        <v>0.99041382732785432</v>
      </c>
      <c r="J4" s="91">
        <f t="shared" si="5"/>
        <v>1.1010281827233976</v>
      </c>
      <c r="K4" s="91">
        <f t="shared" si="5"/>
        <v>1.0680763993059637</v>
      </c>
      <c r="L4" s="91">
        <f t="shared" si="5"/>
        <v>1.3184585992439333</v>
      </c>
      <c r="M4" s="91">
        <f t="shared" si="5"/>
        <v>2.6461533628624383</v>
      </c>
    </row>
    <row r="5" spans="1:21" ht="15.75">
      <c r="A5" s="88" t="s">
        <v>163</v>
      </c>
      <c r="B5" s="89">
        <v>139157</v>
      </c>
      <c r="C5" s="89">
        <v>139868</v>
      </c>
      <c r="D5" s="89">
        <v>139760</v>
      </c>
      <c r="E5" s="89">
        <v>97693</v>
      </c>
      <c r="F5" s="89">
        <v>81388</v>
      </c>
      <c r="G5" s="89">
        <v>87374</v>
      </c>
      <c r="H5" s="89">
        <v>91904</v>
      </c>
      <c r="I5" s="89">
        <v>81827</v>
      </c>
      <c r="J5" s="89">
        <v>98411</v>
      </c>
      <c r="K5" s="89">
        <v>154509</v>
      </c>
      <c r="L5" s="89">
        <v>162177</v>
      </c>
      <c r="M5" s="89">
        <v>84235</v>
      </c>
    </row>
    <row r="6" spans="1:21" ht="15.75">
      <c r="A6" s="88" t="s">
        <v>42</v>
      </c>
      <c r="B6" s="92">
        <v>23554</v>
      </c>
      <c r="C6" s="92">
        <v>16184</v>
      </c>
      <c r="D6" s="92">
        <v>23672</v>
      </c>
      <c r="E6" s="92">
        <v>28105</v>
      </c>
      <c r="F6" s="92">
        <v>22533</v>
      </c>
      <c r="G6" s="92">
        <v>31378</v>
      </c>
      <c r="H6" s="92">
        <v>31419</v>
      </c>
      <c r="I6" s="92">
        <v>35784</v>
      </c>
      <c r="J6" s="92">
        <v>42727</v>
      </c>
      <c r="K6" s="92">
        <v>62077</v>
      </c>
      <c r="L6" s="92">
        <v>65996</v>
      </c>
      <c r="M6" s="92">
        <v>34296</v>
      </c>
    </row>
    <row r="7" spans="1:21" ht="15.75">
      <c r="A7" s="88" t="s">
        <v>58</v>
      </c>
      <c r="B7" s="89">
        <v>93241</v>
      </c>
      <c r="C7" s="89">
        <v>85087</v>
      </c>
      <c r="D7" s="89">
        <v>77853</v>
      </c>
      <c r="E7" s="89">
        <v>83215</v>
      </c>
      <c r="F7" s="89">
        <v>69066</v>
      </c>
      <c r="G7" s="89">
        <v>89469</v>
      </c>
      <c r="H7" s="89">
        <v>92822</v>
      </c>
      <c r="I7" s="89">
        <v>82619</v>
      </c>
      <c r="J7" s="89">
        <v>89381</v>
      </c>
      <c r="K7" s="89">
        <v>144661</v>
      </c>
      <c r="L7" s="89">
        <v>123005</v>
      </c>
      <c r="M7" s="89">
        <v>31833</v>
      </c>
    </row>
    <row r="8" spans="1:21" ht="15.75">
      <c r="A8" s="90" t="s">
        <v>139</v>
      </c>
      <c r="B8" s="91">
        <f>(B5-B6)/B7</f>
        <v>1.2398301176521058</v>
      </c>
      <c r="C8" s="91">
        <f>(C5-C6)/C7</f>
        <v>1.4536180615135097</v>
      </c>
      <c r="D8" s="91">
        <f t="shared" ref="D8:M8" si="6">(D5-D6)/D7</f>
        <v>1.4911178759970714</v>
      </c>
      <c r="E8" s="91">
        <f t="shared" si="6"/>
        <v>0.83624346572132424</v>
      </c>
      <c r="F8" s="91">
        <f t="shared" si="6"/>
        <v>0.85215590884081893</v>
      </c>
      <c r="G8" s="91">
        <f t="shared" si="6"/>
        <v>0.62587041321575065</v>
      </c>
      <c r="H8" s="91">
        <f t="shared" si="6"/>
        <v>0.65162353752343194</v>
      </c>
      <c r="I8" s="91">
        <f t="shared" si="6"/>
        <v>0.55729311659545622</v>
      </c>
      <c r="J8" s="91">
        <f t="shared" si="6"/>
        <v>0.62299593873418291</v>
      </c>
      <c r="K8" s="91">
        <f t="shared" si="6"/>
        <v>0.63895590380268352</v>
      </c>
      <c r="L8" s="91">
        <f t="shared" si="6"/>
        <v>0.78192756392016582</v>
      </c>
      <c r="M8" s="91">
        <f t="shared" si="6"/>
        <v>1.5687808249301041</v>
      </c>
    </row>
    <row r="9" spans="1:21" ht="15.75">
      <c r="A9" s="88" t="s">
        <v>37</v>
      </c>
      <c r="B9" s="93">
        <v>12247</v>
      </c>
      <c r="C9" s="93">
        <v>12100</v>
      </c>
      <c r="D9" s="93">
        <v>11769</v>
      </c>
      <c r="E9" s="93">
        <v>6092</v>
      </c>
      <c r="F9" s="93">
        <v>3437</v>
      </c>
      <c r="G9" s="93">
        <v>4027</v>
      </c>
      <c r="H9" s="93">
        <v>1938</v>
      </c>
      <c r="I9" s="93">
        <v>3016</v>
      </c>
      <c r="J9" s="93">
        <v>4544</v>
      </c>
      <c r="K9" s="93">
        <v>2284</v>
      </c>
      <c r="L9" s="93">
        <v>2765</v>
      </c>
      <c r="M9" s="93">
        <v>4073</v>
      </c>
    </row>
    <row r="10" spans="1:21" ht="15.75">
      <c r="A10" s="88" t="s">
        <v>58</v>
      </c>
      <c r="B10" s="89">
        <v>93241</v>
      </c>
      <c r="C10" s="89">
        <v>85087</v>
      </c>
      <c r="D10" s="89">
        <v>77853</v>
      </c>
      <c r="E10" s="89">
        <v>83215</v>
      </c>
      <c r="F10" s="89">
        <v>69066</v>
      </c>
      <c r="G10" s="89">
        <v>89469</v>
      </c>
      <c r="H10" s="89">
        <v>92822</v>
      </c>
      <c r="I10" s="89">
        <v>82619</v>
      </c>
      <c r="J10" s="89">
        <v>89381</v>
      </c>
      <c r="K10" s="89">
        <v>144661</v>
      </c>
      <c r="L10" s="89">
        <v>123005</v>
      </c>
      <c r="M10" s="89">
        <v>31833</v>
      </c>
    </row>
    <row r="11" spans="1:21" ht="15.75">
      <c r="A11" s="90" t="s">
        <v>162</v>
      </c>
      <c r="B11" s="91">
        <f>B9/B10</f>
        <v>0.13134779764266794</v>
      </c>
      <c r="C11" s="91">
        <f>C9/C10</f>
        <v>0.14220738773255609</v>
      </c>
      <c r="D11" s="91">
        <f t="shared" ref="D11:M11" si="7">D9/D10</f>
        <v>0.15116951177218604</v>
      </c>
      <c r="E11" s="91">
        <f t="shared" si="7"/>
        <v>7.3207955296521063E-2</v>
      </c>
      <c r="F11" s="91">
        <f t="shared" si="7"/>
        <v>4.9763993860944607E-2</v>
      </c>
      <c r="G11" s="91">
        <f t="shared" si="7"/>
        <v>4.5010003464887281E-2</v>
      </c>
      <c r="H11" s="91">
        <f t="shared" si="7"/>
        <v>2.0878671004718709E-2</v>
      </c>
      <c r="I11" s="91">
        <f t="shared" si="7"/>
        <v>3.6504920175746497E-2</v>
      </c>
      <c r="J11" s="91">
        <f t="shared" si="7"/>
        <v>5.0838545104664304E-2</v>
      </c>
      <c r="K11" s="91">
        <f t="shared" si="7"/>
        <v>1.5788636882089851E-2</v>
      </c>
      <c r="L11" s="91">
        <f t="shared" si="7"/>
        <v>2.2478761025974552E-2</v>
      </c>
      <c r="M11" s="91">
        <f t="shared" si="7"/>
        <v>0.12794898375899225</v>
      </c>
    </row>
    <row r="13" spans="1:21" ht="15.75">
      <c r="A13" s="87" t="s">
        <v>144</v>
      </c>
      <c r="B13" s="87" t="s">
        <v>200</v>
      </c>
      <c r="C13" s="87">
        <v>2016</v>
      </c>
      <c r="D13" s="87">
        <f>C13-1</f>
        <v>2015</v>
      </c>
      <c r="E13" s="87">
        <f>D13-1</f>
        <v>2014</v>
      </c>
      <c r="F13" s="87">
        <f>E13-1</f>
        <v>2013</v>
      </c>
      <c r="G13" s="87">
        <f t="shared" ref="G13:M13" si="8">F13-1</f>
        <v>2012</v>
      </c>
      <c r="H13" s="87">
        <f t="shared" si="8"/>
        <v>2011</v>
      </c>
      <c r="I13" s="87">
        <f t="shared" si="8"/>
        <v>2010</v>
      </c>
      <c r="J13" s="87">
        <f t="shared" si="8"/>
        <v>2009</v>
      </c>
      <c r="K13" s="87">
        <f t="shared" si="8"/>
        <v>2008</v>
      </c>
      <c r="L13" s="87">
        <f t="shared" si="8"/>
        <v>2007</v>
      </c>
      <c r="M13" s="87">
        <f t="shared" si="8"/>
        <v>2006</v>
      </c>
    </row>
    <row r="14" spans="1:21" ht="15.75">
      <c r="A14" s="88" t="s">
        <v>169</v>
      </c>
      <c r="B14" s="93">
        <v>24109</v>
      </c>
      <c r="C14" s="93">
        <v>26144</v>
      </c>
      <c r="D14" s="93">
        <v>-22990</v>
      </c>
      <c r="E14" s="93">
        <v>13314</v>
      </c>
      <c r="F14" s="93">
        <v>13668</v>
      </c>
      <c r="G14" s="93">
        <v>20225</v>
      </c>
      <c r="H14" s="93">
        <v>4541</v>
      </c>
      <c r="I14" s="93">
        <v>6948</v>
      </c>
      <c r="J14" s="93">
        <v>25382</v>
      </c>
      <c r="K14" s="93">
        <v>-6750</v>
      </c>
      <c r="L14" s="93">
        <v>1130</v>
      </c>
      <c r="M14" s="93">
        <v>15826</v>
      </c>
    </row>
    <row r="15" spans="1:21" ht="15.75">
      <c r="A15" s="88" t="s">
        <v>170</v>
      </c>
      <c r="B15" s="89">
        <v>185558</v>
      </c>
      <c r="C15" s="89">
        <v>196180</v>
      </c>
      <c r="D15" s="89">
        <v>164159</v>
      </c>
      <c r="E15" s="89">
        <v>136574</v>
      </c>
      <c r="F15" s="89">
        <v>130482</v>
      </c>
      <c r="G15" s="89">
        <v>136062</v>
      </c>
      <c r="H15" s="89">
        <v>119650</v>
      </c>
      <c r="I15" s="89">
        <v>109283</v>
      </c>
      <c r="J15" s="89">
        <v>139957</v>
      </c>
      <c r="K15" s="89">
        <v>205983</v>
      </c>
      <c r="L15" s="89">
        <v>180844</v>
      </c>
      <c r="M15" s="89">
        <v>100621</v>
      </c>
    </row>
    <row r="16" spans="1:21" ht="15.75">
      <c r="A16" s="90" t="s">
        <v>165</v>
      </c>
      <c r="B16" s="91">
        <f>B14/B15</f>
        <v>0.12992703090138932</v>
      </c>
      <c r="C16" s="91">
        <f>C14/C15</f>
        <v>0.13326536853909673</v>
      </c>
      <c r="D16" s="91">
        <f>D14/D15</f>
        <v>-0.14004714941002322</v>
      </c>
      <c r="E16" s="91">
        <f>E14/E15</f>
        <v>9.7485612195586269E-2</v>
      </c>
      <c r="F16" s="91">
        <f t="shared" ref="F16:M16" si="9">F14/F15</f>
        <v>0.10475008047086955</v>
      </c>
      <c r="G16" s="91">
        <f t="shared" si="9"/>
        <v>0.14864547044729609</v>
      </c>
      <c r="H16" s="91">
        <f t="shared" si="9"/>
        <v>3.7952361053071461E-2</v>
      </c>
      <c r="I16" s="91">
        <f t="shared" si="9"/>
        <v>6.3578049650906368E-2</v>
      </c>
      <c r="J16" s="91">
        <f t="shared" si="9"/>
        <v>0.18135570210850477</v>
      </c>
      <c r="K16" s="91">
        <f t="shared" si="9"/>
        <v>-3.2769694586446456E-2</v>
      </c>
      <c r="L16" s="91">
        <f t="shared" si="9"/>
        <v>6.2484793523699981E-3</v>
      </c>
      <c r="M16" s="91">
        <f t="shared" si="9"/>
        <v>0.15728327088778685</v>
      </c>
    </row>
    <row r="17" spans="1:13" ht="15.75">
      <c r="A17" s="88" t="s">
        <v>16</v>
      </c>
      <c r="B17" s="89">
        <f>28698-15336+15013-11170-12109+5582+5742-5020-5118-335</f>
        <v>5947</v>
      </c>
      <c r="C17" s="89">
        <v>5419</v>
      </c>
      <c r="D17" s="89">
        <v>5308</v>
      </c>
      <c r="E17" s="89">
        <v>6801</v>
      </c>
      <c r="F17" s="89">
        <v>7669</v>
      </c>
      <c r="G17" s="89">
        <v>9084</v>
      </c>
      <c r="H17" s="89">
        <v>746</v>
      </c>
      <c r="I17" s="89">
        <v>-89</v>
      </c>
      <c r="J17" s="89">
        <v>-10806</v>
      </c>
      <c r="K17" s="89">
        <v>-13045</v>
      </c>
      <c r="L17" s="89">
        <v>4294</v>
      </c>
      <c r="M17" s="89">
        <v>6129</v>
      </c>
    </row>
    <row r="18" spans="1:13" ht="15.75">
      <c r="A18" s="88" t="s">
        <v>6</v>
      </c>
      <c r="B18" s="89">
        <f>11145-5785+4810</f>
        <v>10170</v>
      </c>
      <c r="C18" s="89">
        <v>11145</v>
      </c>
      <c r="D18" s="89">
        <v>7228</v>
      </c>
      <c r="E18" s="89">
        <v>4515</v>
      </c>
      <c r="F18" s="89">
        <v>4263</v>
      </c>
      <c r="G18" s="89">
        <v>4372</v>
      </c>
      <c r="H18" s="89">
        <v>4751</v>
      </c>
      <c r="I18" s="89">
        <v>4787</v>
      </c>
      <c r="J18" s="89">
        <v>5670</v>
      </c>
      <c r="K18" s="89">
        <v>8782</v>
      </c>
      <c r="L18" s="89">
        <v>7626</v>
      </c>
      <c r="M18" s="89">
        <v>4533</v>
      </c>
    </row>
    <row r="19" spans="1:13" ht="15.75">
      <c r="A19" s="94" t="s">
        <v>147</v>
      </c>
      <c r="B19" s="95">
        <f>B17+B18</f>
        <v>16117</v>
      </c>
      <c r="C19" s="95">
        <f>C17+C18</f>
        <v>16564</v>
      </c>
      <c r="D19" s="95">
        <f>D17+D18</f>
        <v>12536</v>
      </c>
      <c r="E19" s="95">
        <f>E17+E18</f>
        <v>11316</v>
      </c>
      <c r="F19" s="95">
        <f t="shared" ref="F19:M19" si="10">F17+F18</f>
        <v>11932</v>
      </c>
      <c r="G19" s="95">
        <f t="shared" si="10"/>
        <v>13456</v>
      </c>
      <c r="H19" s="95">
        <f t="shared" si="10"/>
        <v>5497</v>
      </c>
      <c r="I19" s="95">
        <f t="shared" si="10"/>
        <v>4698</v>
      </c>
      <c r="J19" s="95">
        <f t="shared" si="10"/>
        <v>-5136</v>
      </c>
      <c r="K19" s="95">
        <f t="shared" si="10"/>
        <v>-4263</v>
      </c>
      <c r="L19" s="95">
        <f t="shared" si="10"/>
        <v>11920</v>
      </c>
      <c r="M19" s="95">
        <f t="shared" si="10"/>
        <v>10662</v>
      </c>
    </row>
    <row r="20" spans="1:13" ht="15.75">
      <c r="A20" s="88" t="s">
        <v>166</v>
      </c>
      <c r="B20" s="89">
        <v>220234</v>
      </c>
      <c r="C20" s="89">
        <v>223797</v>
      </c>
      <c r="D20" s="89">
        <v>236624</v>
      </c>
      <c r="E20" s="89">
        <v>135884</v>
      </c>
      <c r="F20" s="89">
        <v>111662</v>
      </c>
      <c r="G20" s="89">
        <v>119541</v>
      </c>
      <c r="H20" s="89">
        <v>127599</v>
      </c>
      <c r="I20" s="89">
        <v>121073</v>
      </c>
      <c r="J20" s="89">
        <v>141072</v>
      </c>
      <c r="K20" s="89">
        <v>219126</v>
      </c>
      <c r="L20" s="89">
        <v>232372</v>
      </c>
      <c r="M20" s="89">
        <v>126340</v>
      </c>
    </row>
    <row r="21" spans="1:13" ht="15.75">
      <c r="A21" s="90" t="s">
        <v>167</v>
      </c>
      <c r="B21" s="91">
        <f>B19/B20</f>
        <v>7.3181252667617172E-2</v>
      </c>
      <c r="C21" s="91">
        <f>C19/C20</f>
        <v>7.4013503308802173E-2</v>
      </c>
      <c r="D21" s="91">
        <f>D19/D20</f>
        <v>5.2978565149773484E-2</v>
      </c>
      <c r="E21" s="91">
        <f>E19/E20</f>
        <v>8.327691266079891E-2</v>
      </c>
      <c r="F21" s="91">
        <f t="shared" ref="F21:M21" si="11">F19/F20</f>
        <v>0.10685819705898157</v>
      </c>
      <c r="G21" s="91">
        <f t="shared" si="11"/>
        <v>0.11256389021339959</v>
      </c>
      <c r="H21" s="91">
        <f t="shared" si="11"/>
        <v>4.3080274923784669E-2</v>
      </c>
      <c r="I21" s="91">
        <f t="shared" si="11"/>
        <v>3.8803036184781085E-2</v>
      </c>
      <c r="J21" s="91">
        <f t="shared" si="11"/>
        <v>-3.6406941136440968E-2</v>
      </c>
      <c r="K21" s="91">
        <f t="shared" si="11"/>
        <v>-1.9454560389912653E-2</v>
      </c>
      <c r="L21" s="91">
        <f t="shared" si="11"/>
        <v>5.1297058165355548E-2</v>
      </c>
      <c r="M21" s="91">
        <f t="shared" si="11"/>
        <v>8.4391324996042419E-2</v>
      </c>
    </row>
    <row r="22" spans="1:13" ht="15.75">
      <c r="A22" s="88" t="s">
        <v>169</v>
      </c>
      <c r="B22" s="93">
        <v>24109</v>
      </c>
      <c r="C22" s="93">
        <v>26144</v>
      </c>
      <c r="D22" s="93">
        <v>-22990</v>
      </c>
      <c r="E22" s="93">
        <v>13314</v>
      </c>
      <c r="F22" s="93">
        <v>13668</v>
      </c>
      <c r="G22" s="93">
        <v>20225</v>
      </c>
      <c r="H22" s="93">
        <v>4541</v>
      </c>
      <c r="I22" s="93">
        <v>6948</v>
      </c>
      <c r="J22" s="93">
        <v>25382</v>
      </c>
      <c r="K22" s="93">
        <v>-6750</v>
      </c>
      <c r="L22" s="93">
        <v>1130</v>
      </c>
      <c r="M22" s="93">
        <v>15826</v>
      </c>
    </row>
    <row r="23" spans="1:13" ht="15.75">
      <c r="A23" s="88" t="s">
        <v>82</v>
      </c>
      <c r="B23" s="89">
        <v>69438</v>
      </c>
      <c r="C23" s="89">
        <v>69586</v>
      </c>
      <c r="D23" s="89">
        <v>78958</v>
      </c>
      <c r="E23" s="89">
        <v>23466</v>
      </c>
      <c r="F23" s="89">
        <v>11277</v>
      </c>
      <c r="G23" s="89">
        <v>334</v>
      </c>
      <c r="H23" s="89">
        <v>-893</v>
      </c>
      <c r="I23" s="89">
        <v>-5925</v>
      </c>
      <c r="J23" s="89">
        <v>4624</v>
      </c>
      <c r="K23" s="89">
        <v>31673</v>
      </c>
      <c r="L23" s="89">
        <v>59580</v>
      </c>
      <c r="M23" s="89">
        <v>39921</v>
      </c>
    </row>
    <row r="24" spans="1:13" ht="15.75">
      <c r="A24" s="90" t="s">
        <v>168</v>
      </c>
      <c r="B24" s="91">
        <f>B22/B23</f>
        <v>0.34720182032892655</v>
      </c>
      <c r="C24" s="91">
        <f>C22/C23</f>
        <v>0.37570775730750439</v>
      </c>
      <c r="D24" s="91">
        <f>D22/D23</f>
        <v>-0.29116745611590972</v>
      </c>
      <c r="E24" s="91">
        <f>E22/E23</f>
        <v>0.56737407312707744</v>
      </c>
      <c r="F24" s="91">
        <f t="shared" ref="F24:M24" si="12">F22/F23</f>
        <v>1.212024474594307</v>
      </c>
      <c r="G24" s="91">
        <f>G22/G23</f>
        <v>60.553892215568865</v>
      </c>
      <c r="H24" s="91">
        <f t="shared" si="12"/>
        <v>-5.0851063829787231</v>
      </c>
      <c r="I24" s="91">
        <f t="shared" si="12"/>
        <v>-1.1726582278481013</v>
      </c>
      <c r="J24" s="91">
        <f t="shared" si="12"/>
        <v>5.4891868512110724</v>
      </c>
      <c r="K24" s="91">
        <f t="shared" si="12"/>
        <v>-0.2131152716825056</v>
      </c>
      <c r="L24" s="91">
        <f t="shared" si="12"/>
        <v>1.8966096005370931E-2</v>
      </c>
      <c r="M24" s="91">
        <f t="shared" si="12"/>
        <v>0.39643295508629545</v>
      </c>
    </row>
    <row r="26" spans="1:13" ht="15.75">
      <c r="A26" s="87" t="s">
        <v>145</v>
      </c>
      <c r="B26" s="87" t="s">
        <v>200</v>
      </c>
      <c r="C26" s="87">
        <v>2016</v>
      </c>
      <c r="D26" s="87">
        <f t="shared" ref="D26:M26" si="13">C26-1</f>
        <v>2015</v>
      </c>
      <c r="E26" s="87">
        <f t="shared" si="13"/>
        <v>2014</v>
      </c>
      <c r="F26" s="87">
        <f t="shared" si="13"/>
        <v>2013</v>
      </c>
      <c r="G26" s="87">
        <f t="shared" si="13"/>
        <v>2012</v>
      </c>
      <c r="H26" s="87">
        <f t="shared" si="13"/>
        <v>2011</v>
      </c>
      <c r="I26" s="87">
        <f t="shared" si="13"/>
        <v>2010</v>
      </c>
      <c r="J26" s="87">
        <f t="shared" si="13"/>
        <v>2009</v>
      </c>
      <c r="K26" s="87">
        <f t="shared" si="13"/>
        <v>2008</v>
      </c>
      <c r="L26" s="87">
        <f t="shared" si="13"/>
        <v>2007</v>
      </c>
      <c r="M26" s="87">
        <f t="shared" si="13"/>
        <v>2006</v>
      </c>
    </row>
    <row r="27" spans="1:13" ht="15.75">
      <c r="A27" s="88" t="s">
        <v>82</v>
      </c>
      <c r="B27" s="89">
        <v>69438</v>
      </c>
      <c r="C27" s="89">
        <v>69586</v>
      </c>
      <c r="D27" s="89">
        <v>78958</v>
      </c>
      <c r="E27" s="89">
        <v>23466</v>
      </c>
      <c r="F27" s="89">
        <v>11277</v>
      </c>
      <c r="G27" s="89">
        <v>334</v>
      </c>
      <c r="H27" s="89">
        <v>-893</v>
      </c>
      <c r="I27" s="89">
        <v>-5925</v>
      </c>
      <c r="J27" s="89">
        <v>4624</v>
      </c>
      <c r="K27" s="89">
        <v>31673</v>
      </c>
      <c r="L27" s="89">
        <v>59580</v>
      </c>
      <c r="M27" s="89">
        <v>39921</v>
      </c>
    </row>
    <row r="28" spans="1:13" ht="15.75">
      <c r="A28" s="88" t="s">
        <v>166</v>
      </c>
      <c r="B28" s="89">
        <v>220234</v>
      </c>
      <c r="C28" s="89">
        <v>223797</v>
      </c>
      <c r="D28" s="89">
        <v>236624</v>
      </c>
      <c r="E28" s="89">
        <v>135884</v>
      </c>
      <c r="F28" s="89">
        <v>111662</v>
      </c>
      <c r="G28" s="89">
        <v>119541</v>
      </c>
      <c r="H28" s="89">
        <v>127599</v>
      </c>
      <c r="I28" s="89">
        <v>121073</v>
      </c>
      <c r="J28" s="89">
        <v>141072</v>
      </c>
      <c r="K28" s="89">
        <v>219126</v>
      </c>
      <c r="L28" s="89">
        <v>232372</v>
      </c>
      <c r="M28" s="89">
        <v>126340</v>
      </c>
    </row>
    <row r="29" spans="1:13" ht="15.75">
      <c r="A29" s="90" t="s">
        <v>171</v>
      </c>
      <c r="B29" s="91">
        <f>B27/B28</f>
        <v>0.31529191677942553</v>
      </c>
      <c r="C29" s="91">
        <f>C27/C28</f>
        <v>0.3109335692614289</v>
      </c>
      <c r="D29" s="91">
        <f t="shared" ref="D29:M29" si="14">D27/D28</f>
        <v>0.33368550950030429</v>
      </c>
      <c r="E29" s="91">
        <f t="shared" si="14"/>
        <v>0.1726914132642548</v>
      </c>
      <c r="F29" s="91">
        <f t="shared" si="14"/>
        <v>0.10099228027439952</v>
      </c>
      <c r="G29" s="91">
        <f t="shared" si="14"/>
        <v>2.7940204615989495E-3</v>
      </c>
      <c r="H29" s="91">
        <f t="shared" si="14"/>
        <v>-6.9984874489611984E-3</v>
      </c>
      <c r="I29" s="91">
        <f t="shared" si="14"/>
        <v>-4.8937417921419306E-2</v>
      </c>
      <c r="J29" s="91">
        <f t="shared" si="14"/>
        <v>3.2777588749007602E-2</v>
      </c>
      <c r="K29" s="91">
        <f t="shared" si="14"/>
        <v>0.1445424093900313</v>
      </c>
      <c r="L29" s="91">
        <f t="shared" si="14"/>
        <v>0.25639922193723858</v>
      </c>
      <c r="M29" s="91">
        <f t="shared" si="14"/>
        <v>0.31598068703498494</v>
      </c>
    </row>
    <row r="30" spans="1:13" ht="15.75">
      <c r="A30" s="88" t="s">
        <v>172</v>
      </c>
      <c r="B30" s="89">
        <v>150796</v>
      </c>
      <c r="C30" s="89">
        <v>154211</v>
      </c>
      <c r="D30" s="89">
        <v>157666</v>
      </c>
      <c r="E30" s="89">
        <v>112417</v>
      </c>
      <c r="F30" s="89">
        <v>100385</v>
      </c>
      <c r="G30" s="89">
        <v>119207</v>
      </c>
      <c r="H30" s="89">
        <v>128492</v>
      </c>
      <c r="I30" s="89">
        <v>126998</v>
      </c>
      <c r="J30" s="89">
        <v>136448</v>
      </c>
      <c r="K30" s="89">
        <v>187453</v>
      </c>
      <c r="L30" s="89">
        <v>172792</v>
      </c>
      <c r="M30" s="89">
        <v>86419</v>
      </c>
    </row>
    <row r="31" spans="1:13" ht="15.75">
      <c r="A31" s="88" t="s">
        <v>166</v>
      </c>
      <c r="B31" s="89">
        <v>220234</v>
      </c>
      <c r="C31" s="89">
        <v>223797</v>
      </c>
      <c r="D31" s="89">
        <v>236624</v>
      </c>
      <c r="E31" s="89">
        <v>135884</v>
      </c>
      <c r="F31" s="89">
        <v>111662</v>
      </c>
      <c r="G31" s="89">
        <v>119541</v>
      </c>
      <c r="H31" s="89">
        <v>127599</v>
      </c>
      <c r="I31" s="89">
        <v>121073</v>
      </c>
      <c r="J31" s="89">
        <v>141072</v>
      </c>
      <c r="K31" s="89">
        <v>219126</v>
      </c>
      <c r="L31" s="89">
        <v>232372</v>
      </c>
      <c r="M31" s="89">
        <v>126340</v>
      </c>
    </row>
    <row r="32" spans="1:13" ht="15.75">
      <c r="A32" s="90" t="s">
        <v>173</v>
      </c>
      <c r="B32" s="91">
        <f>B30/B31</f>
        <v>0.68470808322057453</v>
      </c>
      <c r="C32" s="91">
        <f>C30/C31</f>
        <v>0.6890664307385711</v>
      </c>
      <c r="D32" s="91">
        <f t="shared" ref="D32:M32" si="15">D30/D31</f>
        <v>0.66631449049969571</v>
      </c>
      <c r="E32" s="91">
        <f t="shared" si="15"/>
        <v>0.8273012275175885</v>
      </c>
      <c r="F32" s="91">
        <f t="shared" si="15"/>
        <v>0.89900771972560045</v>
      </c>
      <c r="G32" s="91">
        <f t="shared" si="15"/>
        <v>0.99720597953840107</v>
      </c>
      <c r="H32" s="91">
        <f t="shared" si="15"/>
        <v>1.0069984874489613</v>
      </c>
      <c r="I32" s="91">
        <f t="shared" si="15"/>
        <v>1.0489374179214193</v>
      </c>
      <c r="J32" s="91">
        <f t="shared" si="15"/>
        <v>0.9672224112509924</v>
      </c>
      <c r="K32" s="91">
        <f t="shared" si="15"/>
        <v>0.85545759060996873</v>
      </c>
      <c r="L32" s="91">
        <f t="shared" si="15"/>
        <v>0.74360077806276148</v>
      </c>
      <c r="M32" s="91">
        <f t="shared" si="15"/>
        <v>0.68401931296501506</v>
      </c>
    </row>
    <row r="33" spans="1:13" ht="15.75">
      <c r="A33" s="88" t="s">
        <v>62</v>
      </c>
      <c r="B33" s="89">
        <f>18649+10056</f>
        <v>28705</v>
      </c>
      <c r="C33" s="89">
        <v>22500</v>
      </c>
      <c r="D33" s="89">
        <v>26586</v>
      </c>
      <c r="E33" s="89">
        <v>30264</v>
      </c>
      <c r="F33" s="89">
        <v>32464</v>
      </c>
      <c r="G33" s="89">
        <v>50198</v>
      </c>
      <c r="H33" s="89">
        <v>55546</v>
      </c>
      <c r="I33" s="89">
        <v>57905</v>
      </c>
      <c r="J33" s="89">
        <v>53498</v>
      </c>
      <c r="K33" s="89">
        <v>81307</v>
      </c>
      <c r="L33" s="89">
        <v>40639</v>
      </c>
      <c r="M33" s="89">
        <v>7385</v>
      </c>
    </row>
    <row r="34" spans="1:13" ht="15.75">
      <c r="A34" s="88" t="s">
        <v>71</v>
      </c>
      <c r="B34" s="89">
        <v>51477</v>
      </c>
      <c r="C34" s="89">
        <v>61733</v>
      </c>
      <c r="D34" s="89">
        <v>69134</v>
      </c>
      <c r="E34" s="89">
        <v>22282</v>
      </c>
      <c r="F34" s="89">
        <v>28732</v>
      </c>
      <c r="G34" s="89">
        <v>25114</v>
      </c>
      <c r="H34" s="89">
        <v>29093</v>
      </c>
      <c r="I34" s="89">
        <v>37410</v>
      </c>
      <c r="J34" s="89">
        <v>41643</v>
      </c>
      <c r="K34" s="89">
        <v>34796</v>
      </c>
      <c r="L34" s="89">
        <v>40922</v>
      </c>
      <c r="M34" s="89">
        <v>46995</v>
      </c>
    </row>
    <row r="35" spans="1:13" ht="15.75">
      <c r="A35" s="88" t="s">
        <v>72</v>
      </c>
      <c r="B35" s="89">
        <v>4748</v>
      </c>
      <c r="C35" s="89">
        <v>5951</v>
      </c>
      <c r="D35" s="89">
        <v>8447</v>
      </c>
      <c r="E35" s="89">
        <v>4189</v>
      </c>
      <c r="F35" s="89">
        <v>0</v>
      </c>
      <c r="G35" s="89">
        <v>1606</v>
      </c>
      <c r="H35" s="89">
        <v>1466</v>
      </c>
      <c r="I35" s="89">
        <v>2044</v>
      </c>
      <c r="J35" s="89">
        <v>0</v>
      </c>
      <c r="K35" s="89">
        <v>0</v>
      </c>
      <c r="L35" s="89">
        <v>0</v>
      </c>
      <c r="M35" s="89">
        <v>2627</v>
      </c>
    </row>
    <row r="36" spans="1:13" ht="15.75">
      <c r="A36" s="88" t="s">
        <v>78</v>
      </c>
      <c r="B36" s="89">
        <v>1211</v>
      </c>
      <c r="C36" s="89">
        <v>1359</v>
      </c>
      <c r="D36" s="89">
        <v>2004</v>
      </c>
      <c r="E36" s="89">
        <v>2405</v>
      </c>
      <c r="F36" s="89">
        <v>2587</v>
      </c>
      <c r="G36" s="89">
        <v>3018</v>
      </c>
      <c r="H36" s="89">
        <v>5110</v>
      </c>
      <c r="I36" s="89">
        <v>4925</v>
      </c>
      <c r="J36" s="89">
        <v>4670</v>
      </c>
      <c r="K36" s="89">
        <v>2644</v>
      </c>
      <c r="L36" s="89">
        <v>2845</v>
      </c>
      <c r="M36" s="89">
        <v>0</v>
      </c>
    </row>
    <row r="37" spans="1:13" ht="15.75">
      <c r="A37" s="96" t="s">
        <v>174</v>
      </c>
      <c r="B37" s="97">
        <f>SUM(B33:B36)</f>
        <v>86141</v>
      </c>
      <c r="C37" s="97">
        <f t="shared" ref="C37:M37" si="16">SUM(C33:C36)</f>
        <v>91543</v>
      </c>
      <c r="D37" s="97">
        <f t="shared" si="16"/>
        <v>106171</v>
      </c>
      <c r="E37" s="97">
        <f t="shared" si="16"/>
        <v>59140</v>
      </c>
      <c r="F37" s="97">
        <f t="shared" si="16"/>
        <v>63783</v>
      </c>
      <c r="G37" s="97">
        <f t="shared" si="16"/>
        <v>79936</v>
      </c>
      <c r="H37" s="97">
        <f t="shared" si="16"/>
        <v>91215</v>
      </c>
      <c r="I37" s="97">
        <f t="shared" si="16"/>
        <v>102284</v>
      </c>
      <c r="J37" s="97">
        <f t="shared" si="16"/>
        <v>99811</v>
      </c>
      <c r="K37" s="97">
        <f t="shared" si="16"/>
        <v>118747</v>
      </c>
      <c r="L37" s="97">
        <f t="shared" si="16"/>
        <v>84406</v>
      </c>
      <c r="M37" s="97">
        <f t="shared" si="16"/>
        <v>57007</v>
      </c>
    </row>
    <row r="38" spans="1:13" ht="15.75">
      <c r="A38" s="88" t="s">
        <v>82</v>
      </c>
      <c r="B38" s="89">
        <v>69438</v>
      </c>
      <c r="C38" s="89">
        <v>69586</v>
      </c>
      <c r="D38" s="89">
        <v>78958</v>
      </c>
      <c r="E38" s="89">
        <v>23466</v>
      </c>
      <c r="F38" s="89">
        <v>11277</v>
      </c>
      <c r="G38" s="89">
        <v>334</v>
      </c>
      <c r="H38" s="89">
        <v>-893</v>
      </c>
      <c r="I38" s="89">
        <v>-5925</v>
      </c>
      <c r="J38" s="89">
        <v>4624</v>
      </c>
      <c r="K38" s="89">
        <v>31673</v>
      </c>
      <c r="L38" s="89">
        <v>59580</v>
      </c>
      <c r="M38" s="89">
        <v>39921</v>
      </c>
    </row>
    <row r="39" spans="1:13" ht="15.75">
      <c r="A39" s="90" t="s">
        <v>141</v>
      </c>
      <c r="B39" s="91">
        <f>B37/B38</f>
        <v>1.2405455226244995</v>
      </c>
      <c r="C39" s="91">
        <f>C37/C38</f>
        <v>1.3155376081395682</v>
      </c>
      <c r="D39" s="91">
        <f>D37/D38</f>
        <v>1.3446515869196281</v>
      </c>
      <c r="E39" s="91">
        <f t="shared" ref="E39:M39" si="17">E37/E38</f>
        <v>2.520242052331032</v>
      </c>
      <c r="F39" s="91">
        <f t="shared" si="17"/>
        <v>5.6560255387071026</v>
      </c>
      <c r="G39" s="91">
        <f>G37/G38</f>
        <v>239.32934131736528</v>
      </c>
      <c r="H39" s="91">
        <f>H37/H38</f>
        <v>-102.1444568868981</v>
      </c>
      <c r="I39" s="91">
        <f>I37/I38</f>
        <v>-17.263122362869197</v>
      </c>
      <c r="J39" s="91">
        <f t="shared" si="17"/>
        <v>21.585423875432525</v>
      </c>
      <c r="K39" s="91">
        <f t="shared" si="17"/>
        <v>3.7491554320714804</v>
      </c>
      <c r="L39" s="91">
        <f t="shared" si="17"/>
        <v>1.4166834508224235</v>
      </c>
      <c r="M39" s="91">
        <f t="shared" si="17"/>
        <v>1.4279952906991309</v>
      </c>
    </row>
    <row r="40" spans="1:13" ht="15.75">
      <c r="A40" s="88" t="s">
        <v>62</v>
      </c>
      <c r="B40" s="89">
        <f>18649+10056</f>
        <v>28705</v>
      </c>
      <c r="C40" s="89">
        <v>22500</v>
      </c>
      <c r="D40" s="89">
        <v>26586</v>
      </c>
      <c r="E40" s="89">
        <v>30264</v>
      </c>
      <c r="F40" s="89">
        <v>32464</v>
      </c>
      <c r="G40" s="89">
        <v>50198</v>
      </c>
      <c r="H40" s="89">
        <v>55546</v>
      </c>
      <c r="I40" s="89">
        <v>57905</v>
      </c>
      <c r="J40" s="89">
        <v>53498</v>
      </c>
      <c r="K40" s="89">
        <v>81307</v>
      </c>
      <c r="L40" s="89">
        <v>40639</v>
      </c>
      <c r="M40" s="89">
        <v>7385</v>
      </c>
    </row>
    <row r="41" spans="1:13" ht="15.75">
      <c r="A41" s="88" t="s">
        <v>71</v>
      </c>
      <c r="B41" s="89">
        <v>51477</v>
      </c>
      <c r="C41" s="89">
        <v>61733</v>
      </c>
      <c r="D41" s="89">
        <v>69134</v>
      </c>
      <c r="E41" s="89">
        <v>22282</v>
      </c>
      <c r="F41" s="89">
        <v>28732</v>
      </c>
      <c r="G41" s="89">
        <v>25114</v>
      </c>
      <c r="H41" s="89">
        <v>29093</v>
      </c>
      <c r="I41" s="89">
        <v>37410</v>
      </c>
      <c r="J41" s="89">
        <v>41643</v>
      </c>
      <c r="K41" s="89">
        <v>34796</v>
      </c>
      <c r="L41" s="89">
        <v>40922</v>
      </c>
      <c r="M41" s="89">
        <v>46995</v>
      </c>
    </row>
    <row r="42" spans="1:13" ht="15.75">
      <c r="A42" s="88" t="s">
        <v>72</v>
      </c>
      <c r="B42" s="89">
        <v>4748</v>
      </c>
      <c r="C42" s="89">
        <v>5951</v>
      </c>
      <c r="D42" s="89">
        <v>8447</v>
      </c>
      <c r="E42" s="89">
        <v>4189</v>
      </c>
      <c r="F42" s="89">
        <v>0</v>
      </c>
      <c r="G42" s="89">
        <v>1606</v>
      </c>
      <c r="H42" s="89">
        <v>1466</v>
      </c>
      <c r="I42" s="89">
        <v>2044</v>
      </c>
      <c r="J42" s="89">
        <v>0</v>
      </c>
      <c r="K42" s="89">
        <v>0</v>
      </c>
      <c r="L42" s="89">
        <v>0</v>
      </c>
      <c r="M42" s="89">
        <v>2627</v>
      </c>
    </row>
    <row r="43" spans="1:13" ht="15.75">
      <c r="A43" s="88" t="s">
        <v>78</v>
      </c>
      <c r="B43" s="89">
        <v>1211</v>
      </c>
      <c r="C43" s="89">
        <v>1359</v>
      </c>
      <c r="D43" s="89">
        <v>2004</v>
      </c>
      <c r="E43" s="89">
        <v>2405</v>
      </c>
      <c r="F43" s="89">
        <v>2587</v>
      </c>
      <c r="G43" s="89">
        <v>3018</v>
      </c>
      <c r="H43" s="89">
        <v>5110</v>
      </c>
      <c r="I43" s="89">
        <v>4925</v>
      </c>
      <c r="J43" s="89">
        <v>4670</v>
      </c>
      <c r="K43" s="89">
        <v>2644</v>
      </c>
      <c r="L43" s="89">
        <v>2845</v>
      </c>
      <c r="M43" s="89">
        <v>0</v>
      </c>
    </row>
    <row r="44" spans="1:13" ht="15.75">
      <c r="A44" s="90" t="s">
        <v>175</v>
      </c>
      <c r="B44" s="91">
        <f>B40/SUM(B41:B43)</f>
        <v>0.49977366111846228</v>
      </c>
      <c r="C44" s="91">
        <f>C40/SUM(C41:C43)</f>
        <v>0.32588386947264747</v>
      </c>
      <c r="D44" s="91">
        <f t="shared" ref="D44:M44" si="18">D40/SUM(D41:D43)</f>
        <v>0.33405792548847146</v>
      </c>
      <c r="E44" s="91">
        <f t="shared" si="18"/>
        <v>1.0480675993904973</v>
      </c>
      <c r="F44" s="91">
        <f t="shared" si="18"/>
        <v>1.0365592771161276</v>
      </c>
      <c r="G44" s="91">
        <f t="shared" si="18"/>
        <v>1.6880086085143586</v>
      </c>
      <c r="H44" s="91">
        <f t="shared" si="18"/>
        <v>1.5572626089881971</v>
      </c>
      <c r="I44" s="91">
        <f t="shared" si="18"/>
        <v>1.3047837941368665</v>
      </c>
      <c r="J44" s="91">
        <f t="shared" si="18"/>
        <v>1.1551400254788073</v>
      </c>
      <c r="K44" s="91">
        <f t="shared" si="18"/>
        <v>2.1716613247863248</v>
      </c>
      <c r="L44" s="91">
        <f t="shared" si="18"/>
        <v>0.92853062809879594</v>
      </c>
      <c r="M44" s="91">
        <f t="shared" si="18"/>
        <v>0.14882511789125791</v>
      </c>
    </row>
    <row r="46" spans="1:13" ht="15.75">
      <c r="A46" s="87" t="s">
        <v>176</v>
      </c>
      <c r="B46" s="87" t="s">
        <v>200</v>
      </c>
      <c r="C46" s="87">
        <v>2016</v>
      </c>
      <c r="D46" s="87">
        <f t="shared" ref="D46:M46" si="19">C46-1</f>
        <v>2015</v>
      </c>
      <c r="E46" s="87">
        <f t="shared" si="19"/>
        <v>2014</v>
      </c>
      <c r="F46" s="87">
        <f t="shared" si="19"/>
        <v>2013</v>
      </c>
      <c r="G46" s="87">
        <f t="shared" si="19"/>
        <v>2012</v>
      </c>
      <c r="H46" s="87">
        <f t="shared" si="19"/>
        <v>2011</v>
      </c>
      <c r="I46" s="87">
        <f t="shared" si="19"/>
        <v>2010</v>
      </c>
      <c r="J46" s="87">
        <f t="shared" si="19"/>
        <v>2009</v>
      </c>
      <c r="K46" s="87">
        <f t="shared" si="19"/>
        <v>2008</v>
      </c>
      <c r="L46" s="87">
        <f t="shared" si="19"/>
        <v>2007</v>
      </c>
      <c r="M46" s="87">
        <f t="shared" si="19"/>
        <v>2006</v>
      </c>
    </row>
    <row r="47" spans="1:13" ht="15.75">
      <c r="A47" s="88" t="s">
        <v>10</v>
      </c>
      <c r="B47" s="103">
        <v>28375</v>
      </c>
      <c r="C47" s="103">
        <v>28698</v>
      </c>
      <c r="D47" s="103">
        <v>25909</v>
      </c>
      <c r="E47" s="103">
        <v>22242</v>
      </c>
      <c r="F47" s="103">
        <v>21115</v>
      </c>
      <c r="G47" s="103">
        <v>22269</v>
      </c>
      <c r="H47" s="103">
        <v>14660</v>
      </c>
      <c r="I47" s="103">
        <v>14475</v>
      </c>
      <c r="J47" s="103">
        <v>9675</v>
      </c>
      <c r="K47" s="103">
        <v>16744</v>
      </c>
      <c r="L47" s="103">
        <v>25557</v>
      </c>
      <c r="M47" s="103">
        <v>16261</v>
      </c>
    </row>
    <row r="48" spans="1:13" ht="15.75">
      <c r="A48" s="88" t="s">
        <v>170</v>
      </c>
      <c r="B48" s="89">
        <v>185558</v>
      </c>
      <c r="C48" s="89">
        <v>196180</v>
      </c>
      <c r="D48" s="89">
        <v>164159</v>
      </c>
      <c r="E48" s="89">
        <v>136574</v>
      </c>
      <c r="F48" s="89">
        <v>130482</v>
      </c>
      <c r="G48" s="89">
        <v>136062</v>
      </c>
      <c r="H48" s="89">
        <v>119650</v>
      </c>
      <c r="I48" s="89">
        <v>109283</v>
      </c>
      <c r="J48" s="89">
        <v>139957</v>
      </c>
      <c r="K48" s="89">
        <v>205983</v>
      </c>
      <c r="L48" s="89">
        <v>180844</v>
      </c>
      <c r="M48" s="89">
        <v>100621</v>
      </c>
    </row>
    <row r="49" spans="1:13" ht="15.75">
      <c r="A49" s="90" t="s">
        <v>177</v>
      </c>
      <c r="B49" s="98">
        <f>B47/B48</f>
        <v>0.15291714719925845</v>
      </c>
      <c r="C49" s="98">
        <f>C47/C48</f>
        <v>0.14628402487511469</v>
      </c>
      <c r="D49" s="98">
        <f t="shared" ref="D49:M49" si="20">D47/D48</f>
        <v>0.15782869047691567</v>
      </c>
      <c r="E49" s="98">
        <f t="shared" si="20"/>
        <v>0.16285676629519527</v>
      </c>
      <c r="F49" s="98">
        <f t="shared" si="20"/>
        <v>0.16182308670927792</v>
      </c>
      <c r="G49" s="98">
        <f t="shared" si="20"/>
        <v>0.16366803369052343</v>
      </c>
      <c r="H49" s="98">
        <f t="shared" si="20"/>
        <v>0.12252402841621396</v>
      </c>
      <c r="I49" s="98">
        <f t="shared" si="20"/>
        <v>0.13245427010605493</v>
      </c>
      <c r="J49" s="98">
        <f t="shared" si="20"/>
        <v>6.9128375143794163E-2</v>
      </c>
      <c r="K49" s="98">
        <f t="shared" si="20"/>
        <v>8.1288261652660662E-2</v>
      </c>
      <c r="L49" s="98">
        <f t="shared" si="20"/>
        <v>0.14132069629072572</v>
      </c>
      <c r="M49" s="98">
        <f t="shared" si="20"/>
        <v>0.16160642410629988</v>
      </c>
    </row>
    <row r="50" spans="1:13" ht="15.75">
      <c r="A50" s="88" t="s">
        <v>16</v>
      </c>
      <c r="B50" s="89">
        <f>28698-15336+15013-11170-12109+5582+5742-5020-5118-335</f>
        <v>5947</v>
      </c>
      <c r="C50" s="89">
        <v>5419</v>
      </c>
      <c r="D50" s="89">
        <v>5308</v>
      </c>
      <c r="E50" s="89">
        <v>6801</v>
      </c>
      <c r="F50" s="89">
        <v>7669</v>
      </c>
      <c r="G50" s="89">
        <v>9084</v>
      </c>
      <c r="H50" s="89">
        <v>746</v>
      </c>
      <c r="I50" s="89">
        <v>-89</v>
      </c>
      <c r="J50" s="89">
        <v>-10806</v>
      </c>
      <c r="K50" s="89">
        <v>-13045</v>
      </c>
      <c r="L50" s="89">
        <v>4294</v>
      </c>
      <c r="M50" s="89">
        <v>6129</v>
      </c>
    </row>
    <row r="51" spans="1:13" ht="15.75">
      <c r="A51" s="88" t="s">
        <v>170</v>
      </c>
      <c r="B51" s="89">
        <v>185558</v>
      </c>
      <c r="C51" s="89">
        <v>196180</v>
      </c>
      <c r="D51" s="89">
        <v>164159</v>
      </c>
      <c r="E51" s="89">
        <v>136574</v>
      </c>
      <c r="F51" s="89">
        <v>130482</v>
      </c>
      <c r="G51" s="89">
        <v>136062</v>
      </c>
      <c r="H51" s="89">
        <v>119650</v>
      </c>
      <c r="I51" s="89">
        <v>109283</v>
      </c>
      <c r="J51" s="89">
        <v>139957</v>
      </c>
      <c r="K51" s="89">
        <v>205983</v>
      </c>
      <c r="L51" s="89">
        <v>180844</v>
      </c>
      <c r="M51" s="89">
        <v>100621</v>
      </c>
    </row>
    <row r="52" spans="1:13" ht="15.75">
      <c r="A52" s="90" t="s">
        <v>178</v>
      </c>
      <c r="B52" s="98">
        <f>B50/B51</f>
        <v>3.2049278392739737E-2</v>
      </c>
      <c r="C52" s="98">
        <f>C50/C51</f>
        <v>2.7622591497604241E-2</v>
      </c>
      <c r="D52" s="98">
        <f t="shared" ref="D52:M52" si="21">D50/D51</f>
        <v>3.2334504961653028E-2</v>
      </c>
      <c r="E52" s="98">
        <f t="shared" si="21"/>
        <v>4.9797179551012635E-2</v>
      </c>
      <c r="F52" s="98">
        <f t="shared" si="21"/>
        <v>5.8774390337364542E-2</v>
      </c>
      <c r="G52" s="98">
        <f t="shared" si="21"/>
        <v>6.676368126295365E-2</v>
      </c>
      <c r="H52" s="98">
        <f t="shared" si="21"/>
        <v>6.2348516506477228E-3</v>
      </c>
      <c r="I52" s="98">
        <f t="shared" si="21"/>
        <v>-8.1439931187833419E-4</v>
      </c>
      <c r="J52" s="98">
        <f t="shared" si="21"/>
        <v>-7.7209428610215999E-2</v>
      </c>
      <c r="K52" s="98">
        <f t="shared" si="21"/>
        <v>-6.3330469019288002E-2</v>
      </c>
      <c r="L52" s="98">
        <f t="shared" si="21"/>
        <v>2.3744221539005995E-2</v>
      </c>
      <c r="M52" s="98">
        <f t="shared" si="21"/>
        <v>6.0911738106359505E-2</v>
      </c>
    </row>
    <row r="53" spans="1:13" ht="15.75">
      <c r="A53" s="88" t="s">
        <v>28</v>
      </c>
      <c r="B53" s="89">
        <v>-9516</v>
      </c>
      <c r="C53" s="89">
        <v>-9418</v>
      </c>
      <c r="D53" s="89">
        <v>8185</v>
      </c>
      <c r="E53" s="89">
        <v>6703</v>
      </c>
      <c r="F53" s="89">
        <v>6232</v>
      </c>
      <c r="G53" s="89">
        <v>79</v>
      </c>
      <c r="H53" s="89">
        <v>-9588</v>
      </c>
      <c r="I53" s="89">
        <v>-10768</v>
      </c>
      <c r="J53" s="89">
        <v>-32118</v>
      </c>
      <c r="K53" s="89">
        <v>-27955</v>
      </c>
      <c r="L53" s="89">
        <v>-5216</v>
      </c>
      <c r="M53" s="89">
        <v>757</v>
      </c>
    </row>
    <row r="54" spans="1:13" ht="15.75">
      <c r="A54" s="88" t="s">
        <v>170</v>
      </c>
      <c r="B54" s="89">
        <v>185558</v>
      </c>
      <c r="C54" s="89">
        <v>196180</v>
      </c>
      <c r="D54" s="89">
        <v>164159</v>
      </c>
      <c r="E54" s="89">
        <v>136574</v>
      </c>
      <c r="F54" s="89">
        <v>130482</v>
      </c>
      <c r="G54" s="89">
        <v>136062</v>
      </c>
      <c r="H54" s="89">
        <v>119650</v>
      </c>
      <c r="I54" s="89">
        <v>109283</v>
      </c>
      <c r="J54" s="89">
        <v>139957</v>
      </c>
      <c r="K54" s="89">
        <v>205983</v>
      </c>
      <c r="L54" s="89">
        <v>180844</v>
      </c>
      <c r="M54" s="89">
        <v>100621</v>
      </c>
    </row>
    <row r="55" spans="1:13" ht="15.75">
      <c r="A55" s="90" t="s">
        <v>179</v>
      </c>
      <c r="B55" s="98">
        <f>B53/B54</f>
        <v>-5.1283156748833249E-2</v>
      </c>
      <c r="C55" s="98">
        <f>C53/C54</f>
        <v>-4.8006932409012132E-2</v>
      </c>
      <c r="D55" s="98">
        <f t="shared" ref="D55:M55" si="22">D53/D54</f>
        <v>4.9860196516791647E-2</v>
      </c>
      <c r="E55" s="98">
        <f t="shared" si="22"/>
        <v>4.9079619839793809E-2</v>
      </c>
      <c r="F55" s="98">
        <f t="shared" si="22"/>
        <v>4.7761377048175228E-2</v>
      </c>
      <c r="G55" s="98">
        <f t="shared" si="22"/>
        <v>5.8061765959636046E-4</v>
      </c>
      <c r="H55" s="98">
        <f t="shared" si="22"/>
        <v>-8.0133723359799416E-2</v>
      </c>
      <c r="I55" s="98">
        <f t="shared" si="22"/>
        <v>-9.8533166183212395E-2</v>
      </c>
      <c r="J55" s="98">
        <f t="shared" si="22"/>
        <v>-0.22948477032231329</v>
      </c>
      <c r="K55" s="98">
        <f t="shared" si="22"/>
        <v>-0.13571508328357196</v>
      </c>
      <c r="L55" s="98">
        <f t="shared" si="22"/>
        <v>-2.8842538320320275E-2</v>
      </c>
      <c r="M55" s="98">
        <f t="shared" si="22"/>
        <v>7.5232804285387742E-3</v>
      </c>
    </row>
    <row r="56" spans="1:13" ht="15.75">
      <c r="A56" s="88" t="s">
        <v>13</v>
      </c>
      <c r="B56" s="89">
        <f>10995-2794+3447</f>
        <v>11648</v>
      </c>
      <c r="C56" s="89">
        <v>11170</v>
      </c>
      <c r="D56" s="89">
        <v>9262</v>
      </c>
      <c r="E56" s="89">
        <v>5690</v>
      </c>
      <c r="F56" s="89">
        <v>4074</v>
      </c>
      <c r="G56" s="89">
        <v>3456</v>
      </c>
      <c r="H56" s="89">
        <v>4341</v>
      </c>
      <c r="I56" s="89">
        <v>3906</v>
      </c>
      <c r="J56" s="89">
        <v>7390</v>
      </c>
      <c r="K56" s="89">
        <v>14128</v>
      </c>
      <c r="L56" s="89">
        <v>10303</v>
      </c>
      <c r="M56" s="89">
        <v>2019</v>
      </c>
    </row>
    <row r="57" spans="1:13" ht="15.75">
      <c r="A57" s="88" t="s">
        <v>14</v>
      </c>
      <c r="B57" s="89">
        <f>12109-2878+2624</f>
        <v>11855</v>
      </c>
      <c r="C57" s="89">
        <v>12109</v>
      </c>
      <c r="D57" s="89">
        <v>11339</v>
      </c>
      <c r="E57" s="89">
        <v>9751</v>
      </c>
      <c r="F57" s="89">
        <v>9372</v>
      </c>
      <c r="G57" s="89">
        <v>9729</v>
      </c>
      <c r="H57" s="89">
        <v>9573</v>
      </c>
      <c r="I57" s="89">
        <v>10658</v>
      </c>
      <c r="J57" s="89">
        <v>13091</v>
      </c>
      <c r="K57" s="89">
        <v>15661</v>
      </c>
      <c r="L57" s="89">
        <v>10960</v>
      </c>
      <c r="M57" s="89">
        <v>8113</v>
      </c>
    </row>
    <row r="58" spans="1:13" ht="15.75">
      <c r="A58" s="94" t="s">
        <v>181</v>
      </c>
      <c r="B58" s="99">
        <f>SUM(B56:B57)</f>
        <v>23503</v>
      </c>
      <c r="C58" s="99">
        <f>SUM(C56:C57)</f>
        <v>23279</v>
      </c>
      <c r="D58" s="99">
        <f t="shared" ref="D58:M58" si="23">SUM(D56:D57)</f>
        <v>20601</v>
      </c>
      <c r="E58" s="99">
        <f t="shared" si="23"/>
        <v>15441</v>
      </c>
      <c r="F58" s="99">
        <f t="shared" si="23"/>
        <v>13446</v>
      </c>
      <c r="G58" s="99">
        <f t="shared" si="23"/>
        <v>13185</v>
      </c>
      <c r="H58" s="99">
        <f t="shared" si="23"/>
        <v>13914</v>
      </c>
      <c r="I58" s="99">
        <f t="shared" si="23"/>
        <v>14564</v>
      </c>
      <c r="J58" s="99">
        <f t="shared" si="23"/>
        <v>20481</v>
      </c>
      <c r="K58" s="99">
        <f t="shared" si="23"/>
        <v>29789</v>
      </c>
      <c r="L58" s="99">
        <f t="shared" si="23"/>
        <v>21263</v>
      </c>
      <c r="M58" s="99">
        <f t="shared" si="23"/>
        <v>10132</v>
      </c>
    </row>
    <row r="59" spans="1:13" ht="15.75">
      <c r="A59" s="88" t="s">
        <v>170</v>
      </c>
      <c r="B59" s="89">
        <v>185558</v>
      </c>
      <c r="C59" s="89">
        <v>196180</v>
      </c>
      <c r="D59" s="89">
        <v>164159</v>
      </c>
      <c r="E59" s="89">
        <v>136574</v>
      </c>
      <c r="F59" s="89">
        <v>130482</v>
      </c>
      <c r="G59" s="89">
        <v>136062</v>
      </c>
      <c r="H59" s="89">
        <v>119650</v>
      </c>
      <c r="I59" s="89">
        <v>109283</v>
      </c>
      <c r="J59" s="89">
        <v>139957</v>
      </c>
      <c r="K59" s="89">
        <v>205983</v>
      </c>
      <c r="L59" s="89">
        <v>180844</v>
      </c>
      <c r="M59" s="89">
        <v>100621</v>
      </c>
    </row>
    <row r="60" spans="1:13" ht="15.75">
      <c r="A60" s="90" t="s">
        <v>182</v>
      </c>
      <c r="B60" s="98">
        <f>B58/B59</f>
        <v>0.12666120566076375</v>
      </c>
      <c r="C60" s="98">
        <f>C58/C59</f>
        <v>0.11866143337751045</v>
      </c>
      <c r="D60" s="98">
        <f t="shared" ref="D60:M60" si="24">D58/D59</f>
        <v>0.12549418551526265</v>
      </c>
      <c r="E60" s="98">
        <f t="shared" si="24"/>
        <v>0.11305958674418264</v>
      </c>
      <c r="F60" s="98">
        <f t="shared" si="24"/>
        <v>0.10304869637191337</v>
      </c>
      <c r="G60" s="98">
        <f t="shared" si="24"/>
        <v>9.6904352427569784E-2</v>
      </c>
      <c r="H60" s="98">
        <f t="shared" si="24"/>
        <v>0.11628917676556623</v>
      </c>
      <c r="I60" s="98">
        <f t="shared" si="24"/>
        <v>0.13326866941793325</v>
      </c>
      <c r="J60" s="98">
        <f t="shared" si="24"/>
        <v>0.14633780375401015</v>
      </c>
      <c r="K60" s="98">
        <f t="shared" si="24"/>
        <v>0.14461873067194866</v>
      </c>
      <c r="L60" s="98">
        <f t="shared" si="24"/>
        <v>0.11757647475171971</v>
      </c>
      <c r="M60" s="98">
        <f t="shared" si="24"/>
        <v>0.10069468599994037</v>
      </c>
    </row>
    <row r="61" spans="1:13" ht="15.75">
      <c r="A61" s="88" t="s">
        <v>17</v>
      </c>
      <c r="B61" s="89">
        <v>6867</v>
      </c>
      <c r="C61" s="89">
        <v>6378</v>
      </c>
      <c r="D61" s="89">
        <v>7624</v>
      </c>
      <c r="E61" s="89">
        <v>4112</v>
      </c>
      <c r="F61" s="89">
        <v>1367</v>
      </c>
      <c r="G61" s="89">
        <v>8929</v>
      </c>
      <c r="H61" s="89">
        <v>8996</v>
      </c>
      <c r="I61" s="89">
        <v>11776</v>
      </c>
      <c r="J61" s="89">
        <v>8257</v>
      </c>
      <c r="K61" s="89">
        <v>11121</v>
      </c>
      <c r="L61" s="89">
        <v>9392</v>
      </c>
      <c r="M61" s="89">
        <v>5990</v>
      </c>
    </row>
    <row r="62" spans="1:13" ht="15.75">
      <c r="A62" s="88" t="s">
        <v>170</v>
      </c>
      <c r="B62" s="89">
        <v>185558</v>
      </c>
      <c r="C62" s="89">
        <v>196180</v>
      </c>
      <c r="D62" s="89">
        <v>164159</v>
      </c>
      <c r="E62" s="89">
        <v>136574</v>
      </c>
      <c r="F62" s="89">
        <v>130482</v>
      </c>
      <c r="G62" s="89">
        <v>136062</v>
      </c>
      <c r="H62" s="89">
        <v>119650</v>
      </c>
      <c r="I62" s="89">
        <v>109283</v>
      </c>
      <c r="J62" s="89">
        <v>139957</v>
      </c>
      <c r="K62" s="89">
        <v>205983</v>
      </c>
      <c r="L62" s="89">
        <v>180844</v>
      </c>
      <c r="M62" s="89">
        <v>100621</v>
      </c>
    </row>
    <row r="63" spans="1:13" ht="15.75">
      <c r="A63" s="90" t="s">
        <v>180</v>
      </c>
      <c r="B63" s="98">
        <f>B61/B62</f>
        <v>3.700729690986107E-2</v>
      </c>
      <c r="C63" s="98">
        <f>C61/C62</f>
        <v>3.2510959323070653E-2</v>
      </c>
      <c r="D63" s="98">
        <f t="shared" ref="D63:M63" si="25">D61/D62</f>
        <v>4.6442778038365246E-2</v>
      </c>
      <c r="E63" s="98">
        <f t="shared" si="25"/>
        <v>3.0108219719712389E-2</v>
      </c>
      <c r="F63" s="98">
        <f t="shared" si="25"/>
        <v>1.0476540825554482E-2</v>
      </c>
      <c r="G63" s="98">
        <f t="shared" si="25"/>
        <v>6.5624494715644341E-2</v>
      </c>
      <c r="H63" s="98">
        <f t="shared" si="25"/>
        <v>7.5185959047221057E-2</v>
      </c>
      <c r="I63" s="98">
        <f t="shared" si="25"/>
        <v>0.10775692468178948</v>
      </c>
      <c r="J63" s="98">
        <f t="shared" si="25"/>
        <v>5.8996691841065471E-2</v>
      </c>
      <c r="K63" s="98">
        <f t="shared" si="25"/>
        <v>5.3989892369758673E-2</v>
      </c>
      <c r="L63" s="98">
        <f t="shared" si="25"/>
        <v>5.1934263785361971E-2</v>
      </c>
      <c r="M63" s="98">
        <f t="shared" si="25"/>
        <v>5.9530316733087528E-2</v>
      </c>
    </row>
    <row r="64" spans="1:13" ht="15.75">
      <c r="A64" s="88" t="s">
        <v>28</v>
      </c>
      <c r="B64" s="89">
        <v>-9516</v>
      </c>
      <c r="C64" s="89">
        <v>-9418</v>
      </c>
      <c r="D64" s="89">
        <v>8185</v>
      </c>
      <c r="E64" s="89">
        <v>6703</v>
      </c>
      <c r="F64" s="89">
        <v>6232</v>
      </c>
      <c r="G64" s="89">
        <v>79</v>
      </c>
      <c r="H64" s="89">
        <v>-9588</v>
      </c>
      <c r="I64" s="89">
        <v>-10768</v>
      </c>
      <c r="J64" s="89">
        <v>-32118</v>
      </c>
      <c r="K64" s="89">
        <v>-27955</v>
      </c>
      <c r="L64" s="89">
        <v>-5216</v>
      </c>
      <c r="M64" s="89">
        <v>757</v>
      </c>
    </row>
    <row r="65" spans="1:21" ht="15.75">
      <c r="A65" s="88" t="s">
        <v>82</v>
      </c>
      <c r="B65" s="89">
        <v>69438</v>
      </c>
      <c r="C65" s="89">
        <v>69586</v>
      </c>
      <c r="D65" s="89">
        <v>78958</v>
      </c>
      <c r="E65" s="89">
        <v>23466</v>
      </c>
      <c r="F65" s="89">
        <v>11277</v>
      </c>
      <c r="G65" s="89">
        <v>334</v>
      </c>
      <c r="H65" s="89">
        <v>-893</v>
      </c>
      <c r="I65" s="89">
        <v>-5925</v>
      </c>
      <c r="J65" s="89">
        <v>4624</v>
      </c>
      <c r="K65" s="89">
        <v>31673</v>
      </c>
      <c r="L65" s="89">
        <v>59580</v>
      </c>
      <c r="M65" s="89">
        <v>39921</v>
      </c>
    </row>
    <row r="66" spans="1:21" ht="15.75">
      <c r="A66" s="90" t="s">
        <v>183</v>
      </c>
      <c r="B66" s="98">
        <f>B64/B65</f>
        <v>-0.13704311760131341</v>
      </c>
      <c r="C66" s="98">
        <f>C64/C65</f>
        <v>-0.13534331618428994</v>
      </c>
      <c r="D66" s="98">
        <f t="shared" ref="D66:M66" si="26">D64/D65</f>
        <v>0.10366270675549026</v>
      </c>
      <c r="E66" s="98">
        <f t="shared" si="26"/>
        <v>0.28564731952612288</v>
      </c>
      <c r="F66" s="98">
        <f t="shared" si="26"/>
        <v>0.55262924536667557</v>
      </c>
      <c r="G66" s="98">
        <f t="shared" si="26"/>
        <v>0.23652694610778444</v>
      </c>
      <c r="H66" s="98">
        <f t="shared" si="26"/>
        <v>10.736842105263158</v>
      </c>
      <c r="I66" s="98">
        <f t="shared" si="26"/>
        <v>1.8173839662447258</v>
      </c>
      <c r="J66" s="98">
        <f t="shared" si="26"/>
        <v>-6.945934256055363</v>
      </c>
      <c r="K66" s="98">
        <f t="shared" si="26"/>
        <v>-0.88261295109399174</v>
      </c>
      <c r="L66" s="98">
        <f t="shared" si="26"/>
        <v>-8.7546156428331662E-2</v>
      </c>
      <c r="M66" s="98">
        <f t="shared" si="26"/>
        <v>1.896245084040981E-2</v>
      </c>
    </row>
    <row r="67" spans="1:21" ht="15.75">
      <c r="A67" s="88" t="s">
        <v>16</v>
      </c>
      <c r="B67" s="89">
        <f>28698-15336+15013-11170-12109+5582+5742-5020-5118-335</f>
        <v>5947</v>
      </c>
      <c r="C67" s="89">
        <v>5419</v>
      </c>
      <c r="D67" s="89">
        <v>5308</v>
      </c>
      <c r="E67" s="89">
        <v>6801</v>
      </c>
      <c r="F67" s="89">
        <v>7669</v>
      </c>
      <c r="G67" s="89">
        <v>9084</v>
      </c>
      <c r="H67" s="89">
        <v>746</v>
      </c>
      <c r="I67" s="89">
        <v>-89</v>
      </c>
      <c r="J67" s="89">
        <v>-10806</v>
      </c>
      <c r="K67" s="89">
        <v>-13045</v>
      </c>
      <c r="L67" s="89">
        <v>4294</v>
      </c>
      <c r="M67" s="89">
        <v>6129</v>
      </c>
    </row>
    <row r="68" spans="1:21" ht="15.75">
      <c r="A68" s="88" t="s">
        <v>166</v>
      </c>
      <c r="B68" s="89">
        <v>220234</v>
      </c>
      <c r="C68" s="89">
        <v>223797</v>
      </c>
      <c r="D68" s="89">
        <v>236624</v>
      </c>
      <c r="E68" s="89">
        <v>135884</v>
      </c>
      <c r="F68" s="89">
        <v>111662</v>
      </c>
      <c r="G68" s="89">
        <v>119541</v>
      </c>
      <c r="H68" s="89">
        <v>127599</v>
      </c>
      <c r="I68" s="89">
        <v>121073</v>
      </c>
      <c r="J68" s="89">
        <v>141072</v>
      </c>
      <c r="K68" s="89">
        <v>219126</v>
      </c>
      <c r="L68" s="89">
        <v>232372</v>
      </c>
      <c r="M68" s="89">
        <v>126340</v>
      </c>
    </row>
    <row r="69" spans="1:21" ht="15.75">
      <c r="A69" s="90" t="s">
        <v>184</v>
      </c>
      <c r="B69" s="98">
        <f>B67/B68</f>
        <v>2.7003096706230644E-2</v>
      </c>
      <c r="C69" s="98">
        <f>C67/C68</f>
        <v>2.4213908139966132E-2</v>
      </c>
      <c r="D69" s="98">
        <f t="shared" ref="D69:M69" si="27">D67/D68</f>
        <v>2.2432213131381433E-2</v>
      </c>
      <c r="E69" s="98">
        <f t="shared" si="27"/>
        <v>5.0050042683465308E-2</v>
      </c>
      <c r="F69" s="98">
        <f t="shared" si="27"/>
        <v>6.8680482169404089E-2</v>
      </c>
      <c r="G69" s="98">
        <f t="shared" si="27"/>
        <v>7.5990664290912738E-2</v>
      </c>
      <c r="H69" s="98">
        <f t="shared" si="27"/>
        <v>5.8464408028276087E-3</v>
      </c>
      <c r="I69" s="98">
        <f t="shared" si="27"/>
        <v>-7.3509370379853478E-4</v>
      </c>
      <c r="J69" s="98">
        <f t="shared" si="27"/>
        <v>-7.6599183395712825E-2</v>
      </c>
      <c r="K69" s="98">
        <f t="shared" si="27"/>
        <v>-5.9531958781705502E-2</v>
      </c>
      <c r="L69" s="98">
        <f t="shared" si="27"/>
        <v>1.8478990584063486E-2</v>
      </c>
      <c r="M69" s="98">
        <f t="shared" si="27"/>
        <v>4.8511951875890455E-2</v>
      </c>
    </row>
    <row r="71" spans="1:21" ht="15.75">
      <c r="A71" s="87" t="s">
        <v>185</v>
      </c>
      <c r="B71" s="87" t="s">
        <v>200</v>
      </c>
      <c r="C71" s="87">
        <v>2016</v>
      </c>
      <c r="D71" s="87">
        <f t="shared" ref="D71:M71" si="28">C71-1</f>
        <v>2015</v>
      </c>
      <c r="E71" s="87">
        <f t="shared" si="28"/>
        <v>2014</v>
      </c>
      <c r="F71" s="87">
        <f t="shared" si="28"/>
        <v>2013</v>
      </c>
      <c r="G71" s="87">
        <f t="shared" si="28"/>
        <v>2012</v>
      </c>
      <c r="H71" s="87">
        <f t="shared" si="28"/>
        <v>2011</v>
      </c>
      <c r="I71" s="87">
        <f t="shared" si="28"/>
        <v>2010</v>
      </c>
      <c r="J71" s="87">
        <f t="shared" si="28"/>
        <v>2009</v>
      </c>
      <c r="K71" s="87">
        <f t="shared" si="28"/>
        <v>2008</v>
      </c>
      <c r="L71" s="87">
        <f t="shared" si="28"/>
        <v>2007</v>
      </c>
      <c r="M71" s="87">
        <f t="shared" si="28"/>
        <v>2006</v>
      </c>
    </row>
    <row r="72" spans="1:21" ht="15.75">
      <c r="A72" s="88" t="s">
        <v>186</v>
      </c>
      <c r="B72" s="89">
        <v>105746</v>
      </c>
      <c r="C72" s="89">
        <v>96312</v>
      </c>
      <c r="D72" s="89">
        <v>59332</v>
      </c>
      <c r="E72" s="89">
        <v>53291</v>
      </c>
      <c r="F72" s="89">
        <v>50415</v>
      </c>
      <c r="G72" s="89">
        <v>56182</v>
      </c>
      <c r="H72" s="89">
        <v>40676</v>
      </c>
      <c r="I72" s="89">
        <v>47470</v>
      </c>
      <c r="J72" s="89">
        <v>82980</v>
      </c>
      <c r="K72" s="89">
        <v>87286</v>
      </c>
      <c r="L72" s="89">
        <v>41628</v>
      </c>
      <c r="M72" s="89">
        <v>44151</v>
      </c>
    </row>
    <row r="73" spans="1:21" ht="15.75">
      <c r="A73" s="88" t="s">
        <v>187</v>
      </c>
      <c r="B73" s="89">
        <v>97589</v>
      </c>
      <c r="C73" s="89">
        <v>105746</v>
      </c>
      <c r="D73" s="89">
        <v>96312</v>
      </c>
      <c r="E73" s="89">
        <v>59332</v>
      </c>
      <c r="F73" s="89">
        <v>53291</v>
      </c>
      <c r="G73" s="89">
        <v>50415</v>
      </c>
      <c r="H73" s="89">
        <v>56182</v>
      </c>
      <c r="I73" s="89">
        <v>40676</v>
      </c>
      <c r="J73" s="89">
        <v>47470</v>
      </c>
      <c r="K73" s="89">
        <v>82980</v>
      </c>
      <c r="L73" s="89">
        <v>87286</v>
      </c>
      <c r="M73" s="89">
        <v>41628</v>
      </c>
    </row>
    <row r="74" spans="1:21" ht="15.75">
      <c r="A74" s="88" t="s">
        <v>188</v>
      </c>
      <c r="B74" s="89">
        <f>AVERAGE(B72:B73)</f>
        <v>101667.5</v>
      </c>
      <c r="C74" s="89">
        <f>AVERAGE(C72:C73)</f>
        <v>101029</v>
      </c>
      <c r="D74" s="89">
        <f t="shared" ref="D74:M74" si="29">AVERAGE(D72:D73)</f>
        <v>77822</v>
      </c>
      <c r="E74" s="89">
        <f t="shared" si="29"/>
        <v>56311.5</v>
      </c>
      <c r="F74" s="89">
        <f t="shared" si="29"/>
        <v>51853</v>
      </c>
      <c r="G74" s="89">
        <f t="shared" si="29"/>
        <v>53298.5</v>
      </c>
      <c r="H74" s="89">
        <f t="shared" si="29"/>
        <v>48429</v>
      </c>
      <c r="I74" s="89">
        <f t="shared" si="29"/>
        <v>44073</v>
      </c>
      <c r="J74" s="89">
        <f t="shared" si="29"/>
        <v>65225</v>
      </c>
      <c r="K74" s="89">
        <f t="shared" si="29"/>
        <v>85133</v>
      </c>
      <c r="L74" s="89">
        <f t="shared" si="29"/>
        <v>64457</v>
      </c>
      <c r="M74" s="89">
        <f t="shared" si="29"/>
        <v>42889.5</v>
      </c>
    </row>
    <row r="75" spans="1:21" ht="15.75">
      <c r="A75" s="88" t="s">
        <v>170</v>
      </c>
      <c r="B75" s="89">
        <v>185558</v>
      </c>
      <c r="C75" s="89">
        <v>196180</v>
      </c>
      <c r="D75" s="89">
        <v>164159</v>
      </c>
      <c r="E75" s="89">
        <v>136574</v>
      </c>
      <c r="F75" s="89">
        <v>130482</v>
      </c>
      <c r="G75" s="89">
        <v>136062</v>
      </c>
      <c r="H75" s="89">
        <v>119650</v>
      </c>
      <c r="I75" s="89">
        <v>109283</v>
      </c>
      <c r="J75" s="89">
        <v>139957</v>
      </c>
      <c r="K75" s="89">
        <v>205983</v>
      </c>
      <c r="L75" s="89">
        <v>180844</v>
      </c>
      <c r="M75" s="89">
        <v>100621</v>
      </c>
    </row>
    <row r="76" spans="1:21" ht="15.75">
      <c r="A76" s="101" t="s">
        <v>198</v>
      </c>
      <c r="B76" s="102">
        <f>(B74*365)/B75</f>
        <v>199.9840346414598</v>
      </c>
      <c r="C76" s="102">
        <f>(C74*365)/C75</f>
        <v>187.96811601590377</v>
      </c>
      <c r="D76" s="102">
        <f t="shared" ref="D76:M76" si="30">(D74*365)/D75</f>
        <v>173.03364421079564</v>
      </c>
      <c r="E76" s="102">
        <f t="shared" si="30"/>
        <v>150.49495145488893</v>
      </c>
      <c r="F76" s="102">
        <f t="shared" si="30"/>
        <v>145.04947042503946</v>
      </c>
      <c r="G76" s="102">
        <f t="shared" si="30"/>
        <v>142.97858696770589</v>
      </c>
      <c r="H76" s="102">
        <f t="shared" si="30"/>
        <v>147.73577099874635</v>
      </c>
      <c r="I76" s="102">
        <f t="shared" si="30"/>
        <v>147.20171481383198</v>
      </c>
      <c r="J76" s="102">
        <f t="shared" si="30"/>
        <v>170.10313882120937</v>
      </c>
      <c r="K76" s="102">
        <f t="shared" si="30"/>
        <v>150.85490064714079</v>
      </c>
      <c r="L76" s="102">
        <f t="shared" si="30"/>
        <v>130.09447369003118</v>
      </c>
      <c r="M76" s="102">
        <f t="shared" si="30"/>
        <v>155.58051997098022</v>
      </c>
    </row>
    <row r="77" spans="1:21" ht="15.75">
      <c r="A77" s="88" t="s">
        <v>189</v>
      </c>
      <c r="B77" s="89">
        <v>16184</v>
      </c>
      <c r="C77" s="89">
        <v>23672</v>
      </c>
      <c r="D77" s="89">
        <v>28105</v>
      </c>
      <c r="E77" s="89">
        <v>22533</v>
      </c>
      <c r="F77" s="89">
        <v>31378</v>
      </c>
      <c r="G77" s="89">
        <v>31419</v>
      </c>
      <c r="H77" s="89">
        <v>35784</v>
      </c>
      <c r="I77" s="89">
        <v>42727</v>
      </c>
      <c r="J77" s="89">
        <v>62077</v>
      </c>
      <c r="K77" s="89">
        <v>65996</v>
      </c>
      <c r="L77" s="89">
        <v>34296</v>
      </c>
      <c r="M77" s="89">
        <v>27161</v>
      </c>
    </row>
    <row r="78" spans="1:21" ht="15.75">
      <c r="A78" s="88" t="s">
        <v>190</v>
      </c>
      <c r="B78" s="89">
        <v>23554</v>
      </c>
      <c r="C78" s="89">
        <v>16184</v>
      </c>
      <c r="D78" s="89">
        <v>23672</v>
      </c>
      <c r="E78" s="89">
        <v>28105</v>
      </c>
      <c r="F78" s="89">
        <v>22533</v>
      </c>
      <c r="G78" s="89">
        <v>31378</v>
      </c>
      <c r="H78" s="89">
        <v>31419</v>
      </c>
      <c r="I78" s="89">
        <v>35784</v>
      </c>
      <c r="J78" s="89">
        <v>42727</v>
      </c>
      <c r="K78" s="89">
        <v>62077</v>
      </c>
      <c r="L78" s="89">
        <v>65996</v>
      </c>
      <c r="M78" s="89">
        <v>34296</v>
      </c>
    </row>
    <row r="79" spans="1:21" ht="15.75">
      <c r="A79" s="88" t="s">
        <v>191</v>
      </c>
      <c r="B79" s="89">
        <f>AVERAGE(B77:B78)</f>
        <v>19869</v>
      </c>
      <c r="C79" s="89">
        <f>AVERAGE(C77:C78)</f>
        <v>19928</v>
      </c>
      <c r="D79" s="89">
        <f t="shared" ref="D79:M79" si="31">AVERAGE(D77:D78)</f>
        <v>25888.5</v>
      </c>
      <c r="E79" s="89">
        <f t="shared" si="31"/>
        <v>25319</v>
      </c>
      <c r="F79" s="89">
        <f t="shared" si="31"/>
        <v>26955.5</v>
      </c>
      <c r="G79" s="89">
        <f t="shared" si="31"/>
        <v>31398.5</v>
      </c>
      <c r="H79" s="89">
        <f t="shared" si="31"/>
        <v>33601.5</v>
      </c>
      <c r="I79" s="89">
        <f t="shared" si="31"/>
        <v>39255.5</v>
      </c>
      <c r="J79" s="89">
        <f t="shared" si="31"/>
        <v>52402</v>
      </c>
      <c r="K79" s="89">
        <f t="shared" si="31"/>
        <v>64036.5</v>
      </c>
      <c r="L79" s="89">
        <f t="shared" si="31"/>
        <v>50146</v>
      </c>
      <c r="M79" s="89">
        <f t="shared" si="31"/>
        <v>30728.5</v>
      </c>
      <c r="O79" s="100"/>
      <c r="P79" s="100"/>
      <c r="Q79" s="100"/>
      <c r="R79" s="100"/>
      <c r="S79" s="100"/>
      <c r="T79" s="100"/>
      <c r="U79" s="100"/>
    </row>
    <row r="80" spans="1:21" ht="15.75">
      <c r="A80" s="88" t="s">
        <v>192</v>
      </c>
      <c r="B80" s="89">
        <f>167482-40112+39027</f>
        <v>166397</v>
      </c>
      <c r="C80" s="89">
        <v>167482</v>
      </c>
      <c r="D80" s="89">
        <v>138250</v>
      </c>
      <c r="E80" s="89">
        <v>114332</v>
      </c>
      <c r="F80" s="89">
        <v>109367</v>
      </c>
      <c r="G80" s="89">
        <v>113793</v>
      </c>
      <c r="H80" s="89">
        <v>104990</v>
      </c>
      <c r="I80" s="89">
        <v>94808</v>
      </c>
      <c r="J80" s="89">
        <v>130282</v>
      </c>
      <c r="K80" s="89">
        <v>189239</v>
      </c>
      <c r="L80" s="89">
        <v>155287</v>
      </c>
      <c r="M80" s="89">
        <v>84360</v>
      </c>
    </row>
    <row r="81" spans="1:21" s="100" customFormat="1" ht="15.75">
      <c r="A81" s="101" t="s">
        <v>193</v>
      </c>
      <c r="B81" s="102">
        <f>(B79*365)/B80</f>
        <v>43.583628310606564</v>
      </c>
      <c r="C81" s="102">
        <f>(C79*365)/C80</f>
        <v>43.429861119403874</v>
      </c>
      <c r="D81" s="102">
        <f t="shared" ref="D81:M81" si="32">(D79*365)/D80</f>
        <v>68.349385171790232</v>
      </c>
      <c r="E81" s="102">
        <f t="shared" si="32"/>
        <v>80.829820172829997</v>
      </c>
      <c r="F81" s="102">
        <f t="shared" si="32"/>
        <v>89.960934285479169</v>
      </c>
      <c r="G81" s="102">
        <f t="shared" si="32"/>
        <v>100.71315898165967</v>
      </c>
      <c r="H81" s="102">
        <f t="shared" si="32"/>
        <v>116.81633965139537</v>
      </c>
      <c r="I81" s="102">
        <f t="shared" si="32"/>
        <v>151.12920323179478</v>
      </c>
      <c r="J81" s="102">
        <f t="shared" si="32"/>
        <v>146.81022704594648</v>
      </c>
      <c r="K81" s="102">
        <f t="shared" si="32"/>
        <v>123.5121856488356</v>
      </c>
      <c r="L81" s="102">
        <f t="shared" si="32"/>
        <v>117.8674969572469</v>
      </c>
      <c r="M81" s="102">
        <f t="shared" si="32"/>
        <v>132.95285087719299</v>
      </c>
      <c r="O81" s="86"/>
      <c r="P81" s="86"/>
      <c r="Q81" s="86"/>
      <c r="R81" s="86"/>
      <c r="S81" s="86"/>
      <c r="T81" s="86"/>
      <c r="U81" s="86"/>
    </row>
    <row r="82" spans="1:21" ht="15.75">
      <c r="A82" s="88" t="s">
        <v>194</v>
      </c>
      <c r="B82" s="89">
        <v>55126</v>
      </c>
      <c r="C82" s="89">
        <v>42587</v>
      </c>
      <c r="D82" s="89">
        <v>46793</v>
      </c>
      <c r="E82" s="89">
        <v>31566</v>
      </c>
      <c r="F82" s="89">
        <v>34418</v>
      </c>
      <c r="G82" s="89">
        <v>31859</v>
      </c>
      <c r="H82" s="89">
        <v>20616</v>
      </c>
      <c r="I82" s="89">
        <v>29049</v>
      </c>
      <c r="J82" s="89">
        <v>51972</v>
      </c>
      <c r="K82" s="89">
        <v>52442</v>
      </c>
      <c r="L82" s="89">
        <v>19864</v>
      </c>
      <c r="M82" s="89">
        <v>8987</v>
      </c>
    </row>
    <row r="83" spans="1:21" ht="15.75">
      <c r="A83" s="88" t="s">
        <v>195</v>
      </c>
      <c r="B83" s="89">
        <v>55348</v>
      </c>
      <c r="C83" s="89">
        <v>55126</v>
      </c>
      <c r="D83" s="89">
        <v>42587</v>
      </c>
      <c r="E83" s="89">
        <v>46793</v>
      </c>
      <c r="F83" s="89">
        <v>31566</v>
      </c>
      <c r="G83" s="89">
        <v>34418</v>
      </c>
      <c r="H83" s="89">
        <v>31859</v>
      </c>
      <c r="I83" s="89">
        <v>20616</v>
      </c>
      <c r="J83" s="89">
        <v>29049</v>
      </c>
      <c r="K83" s="89">
        <v>51972</v>
      </c>
      <c r="L83" s="89">
        <v>52442</v>
      </c>
      <c r="M83" s="89">
        <v>19864</v>
      </c>
    </row>
    <row r="84" spans="1:21" ht="15.75">
      <c r="A84" s="88" t="s">
        <v>196</v>
      </c>
      <c r="B84" s="89">
        <f>AVERAGE(B82:B83)</f>
        <v>55237</v>
      </c>
      <c r="C84" s="89">
        <f>AVERAGE(C82:C83)</f>
        <v>48856.5</v>
      </c>
      <c r="D84" s="89">
        <f t="shared" ref="D84:M84" si="33">AVERAGE(D82:D83)</f>
        <v>44690</v>
      </c>
      <c r="E84" s="89">
        <f t="shared" si="33"/>
        <v>39179.5</v>
      </c>
      <c r="F84" s="89">
        <f t="shared" si="33"/>
        <v>32992</v>
      </c>
      <c r="G84" s="89">
        <f t="shared" si="33"/>
        <v>33138.5</v>
      </c>
      <c r="H84" s="89">
        <f t="shared" si="33"/>
        <v>26237.5</v>
      </c>
      <c r="I84" s="89">
        <f t="shared" si="33"/>
        <v>24832.5</v>
      </c>
      <c r="J84" s="89">
        <f t="shared" si="33"/>
        <v>40510.5</v>
      </c>
      <c r="K84" s="89">
        <f t="shared" si="33"/>
        <v>52207</v>
      </c>
      <c r="L84" s="89">
        <f t="shared" si="33"/>
        <v>36153</v>
      </c>
      <c r="M84" s="89">
        <f t="shared" si="33"/>
        <v>14425.5</v>
      </c>
      <c r="O84" s="100"/>
      <c r="P84" s="100"/>
      <c r="Q84" s="100"/>
      <c r="R84" s="100"/>
      <c r="S84" s="100"/>
      <c r="T84" s="100"/>
      <c r="U84" s="100"/>
    </row>
    <row r="85" spans="1:21" ht="15.75">
      <c r="A85" s="88" t="s">
        <v>192</v>
      </c>
      <c r="B85" s="89">
        <f>167482-40112+39027</f>
        <v>166397</v>
      </c>
      <c r="C85" s="89">
        <v>167482</v>
      </c>
      <c r="D85" s="89">
        <v>138250</v>
      </c>
      <c r="E85" s="89">
        <v>114332</v>
      </c>
      <c r="F85" s="89">
        <v>109367</v>
      </c>
      <c r="G85" s="89">
        <v>113793</v>
      </c>
      <c r="H85" s="89">
        <v>104990</v>
      </c>
      <c r="I85" s="89">
        <v>94808</v>
      </c>
      <c r="J85" s="89">
        <v>130282</v>
      </c>
      <c r="K85" s="89">
        <v>189239</v>
      </c>
      <c r="L85" s="89">
        <v>155287</v>
      </c>
      <c r="M85" s="89">
        <v>84360</v>
      </c>
    </row>
    <row r="86" spans="1:21" s="100" customFormat="1" ht="15.75">
      <c r="A86" s="101" t="s">
        <v>197</v>
      </c>
      <c r="B86" s="102">
        <f>(B84*365)/B85</f>
        <v>121.16507509149804</v>
      </c>
      <c r="C86" s="102">
        <f>(C84*365)/C85</f>
        <v>106.47485998495361</v>
      </c>
      <c r="D86" s="102">
        <f t="shared" ref="D86:M86" si="34">(D84*365)/D85</f>
        <v>117.9880650994575</v>
      </c>
      <c r="E86" s="102">
        <f t="shared" si="34"/>
        <v>125.07887118217123</v>
      </c>
      <c r="F86" s="102">
        <f t="shared" si="34"/>
        <v>110.10707068859894</v>
      </c>
      <c r="G86" s="102">
        <f t="shared" si="34"/>
        <v>106.29434587364777</v>
      </c>
      <c r="H86" s="102">
        <f t="shared" si="34"/>
        <v>91.215234784265164</v>
      </c>
      <c r="I86" s="102">
        <f t="shared" si="34"/>
        <v>95.602296219728288</v>
      </c>
      <c r="J86" s="102">
        <f t="shared" si="34"/>
        <v>113.49482276907017</v>
      </c>
      <c r="K86" s="102">
        <f t="shared" si="34"/>
        <v>100.69570754442795</v>
      </c>
      <c r="L86" s="102">
        <f t="shared" si="34"/>
        <v>84.97713910372407</v>
      </c>
      <c r="M86" s="102">
        <f t="shared" si="34"/>
        <v>62.414740398293027</v>
      </c>
      <c r="O86" s="86"/>
      <c r="P86" s="86"/>
      <c r="Q86" s="86"/>
      <c r="R86" s="86"/>
      <c r="S86" s="86"/>
      <c r="T86" s="86"/>
      <c r="U86" s="86"/>
    </row>
    <row r="87" spans="1:21" ht="15.75">
      <c r="A87" s="88" t="s">
        <v>198</v>
      </c>
      <c r="B87" s="89">
        <f>B76</f>
        <v>199.9840346414598</v>
      </c>
      <c r="C87" s="89">
        <v>187.96811601590377</v>
      </c>
      <c r="D87" s="89">
        <v>173.03364421079564</v>
      </c>
      <c r="E87" s="89">
        <v>150.49495145488893</v>
      </c>
      <c r="F87" s="89">
        <v>145.04947042503946</v>
      </c>
      <c r="G87" s="89">
        <v>142.97858696770589</v>
      </c>
      <c r="H87" s="89">
        <v>147.73577099874635</v>
      </c>
      <c r="I87" s="89">
        <v>147.20171481383198</v>
      </c>
      <c r="J87" s="89">
        <v>170.10313882120937</v>
      </c>
      <c r="K87" s="89">
        <v>150.85490064714079</v>
      </c>
      <c r="L87" s="89">
        <v>130.09447369003118</v>
      </c>
      <c r="M87" s="89">
        <v>155.58051997098022</v>
      </c>
    </row>
    <row r="88" spans="1:21" ht="15.75">
      <c r="A88" s="88" t="s">
        <v>193</v>
      </c>
      <c r="B88" s="89">
        <f>B81</f>
        <v>43.583628310606564</v>
      </c>
      <c r="C88" s="89">
        <v>43.429861119403874</v>
      </c>
      <c r="D88" s="89">
        <v>68.349385171790232</v>
      </c>
      <c r="E88" s="89">
        <v>80.829820172829997</v>
      </c>
      <c r="F88" s="89">
        <v>89.960934285479169</v>
      </c>
      <c r="G88" s="89">
        <v>100.71315898165967</v>
      </c>
      <c r="H88" s="89">
        <v>116.81633965139537</v>
      </c>
      <c r="I88" s="89">
        <v>151.12920323179478</v>
      </c>
      <c r="J88" s="89">
        <v>146.81022704594648</v>
      </c>
      <c r="K88" s="89">
        <v>123.5121856488356</v>
      </c>
      <c r="L88" s="89">
        <v>117.8674969572469</v>
      </c>
      <c r="M88" s="89">
        <v>132.95285087719299</v>
      </c>
      <c r="O88" s="100"/>
      <c r="P88" s="100"/>
      <c r="Q88" s="100"/>
      <c r="R88" s="100"/>
      <c r="S88" s="100"/>
      <c r="T88" s="100"/>
      <c r="U88" s="100"/>
    </row>
    <row r="89" spans="1:21" ht="15.75">
      <c r="A89" s="88" t="s">
        <v>197</v>
      </c>
      <c r="B89" s="89">
        <f>B86</f>
        <v>121.16507509149804</v>
      </c>
      <c r="C89" s="89">
        <v>106.47485998495361</v>
      </c>
      <c r="D89" s="89">
        <v>117.9880650994575</v>
      </c>
      <c r="E89" s="89">
        <v>125.07887118217123</v>
      </c>
      <c r="F89" s="89">
        <v>110.10707068859894</v>
      </c>
      <c r="G89" s="89">
        <v>106.29434587364777</v>
      </c>
      <c r="H89" s="89">
        <v>91.215234784265164</v>
      </c>
      <c r="I89" s="89">
        <v>95.602296219728288</v>
      </c>
      <c r="J89" s="89">
        <v>113.49482276907017</v>
      </c>
      <c r="K89" s="89">
        <v>100.69570754442795</v>
      </c>
      <c r="L89" s="89">
        <v>84.97713910372407</v>
      </c>
      <c r="M89" s="89">
        <v>62.414740398293027</v>
      </c>
    </row>
    <row r="90" spans="1:21" s="100" customFormat="1" ht="15.75">
      <c r="A90" s="101" t="s">
        <v>199</v>
      </c>
      <c r="B90" s="102">
        <f>(B87+B88-B89)</f>
        <v>122.40258786056833</v>
      </c>
      <c r="C90" s="102">
        <f>(C87+C88-C89)</f>
        <v>124.92311715035405</v>
      </c>
      <c r="D90" s="102">
        <f t="shared" ref="D90:M90" si="35">(D87+D88-D89)</f>
        <v>123.39496428312837</v>
      </c>
      <c r="E90" s="102">
        <f t="shared" si="35"/>
        <v>106.24590044554769</v>
      </c>
      <c r="F90" s="102">
        <f t="shared" si="35"/>
        <v>124.90333402191969</v>
      </c>
      <c r="G90" s="102">
        <f t="shared" si="35"/>
        <v>137.39740007571777</v>
      </c>
      <c r="H90" s="102">
        <f t="shared" si="35"/>
        <v>173.33687586587652</v>
      </c>
      <c r="I90" s="102">
        <f t="shared" si="35"/>
        <v>202.72862182589844</v>
      </c>
      <c r="J90" s="102">
        <f t="shared" si="35"/>
        <v>203.41854309808568</v>
      </c>
      <c r="K90" s="102">
        <f t="shared" si="35"/>
        <v>173.67137875154845</v>
      </c>
      <c r="L90" s="102">
        <f t="shared" si="35"/>
        <v>162.98483154355398</v>
      </c>
      <c r="M90" s="102">
        <f t="shared" si="35"/>
        <v>226.11863044988019</v>
      </c>
      <c r="O90" s="86"/>
      <c r="P90" s="86"/>
      <c r="Q90" s="86"/>
      <c r="R90" s="86"/>
      <c r="S90" s="86"/>
      <c r="T90" s="86"/>
      <c r="U90" s="86"/>
    </row>
    <row r="91" spans="1:21" ht="15">
      <c r="O91" s="100"/>
      <c r="P91" s="100"/>
      <c r="Q91" s="100"/>
      <c r="R91" s="100"/>
      <c r="S91" s="100"/>
      <c r="T91" s="100"/>
      <c r="U91" s="100"/>
    </row>
    <row r="92" spans="1:21" ht="15.75">
      <c r="A92" s="87" t="s">
        <v>201</v>
      </c>
      <c r="B92" s="87" t="s">
        <v>200</v>
      </c>
      <c r="C92" s="87">
        <v>2016</v>
      </c>
      <c r="D92" s="87">
        <f t="shared" ref="D92:M92" si="36">C92-1</f>
        <v>2015</v>
      </c>
      <c r="E92" s="87">
        <f t="shared" si="36"/>
        <v>2014</v>
      </c>
      <c r="F92" s="87">
        <f t="shared" si="36"/>
        <v>2013</v>
      </c>
      <c r="G92" s="87">
        <f t="shared" si="36"/>
        <v>2012</v>
      </c>
      <c r="H92" s="87">
        <f t="shared" si="36"/>
        <v>2011</v>
      </c>
      <c r="I92" s="87">
        <f t="shared" si="36"/>
        <v>2010</v>
      </c>
      <c r="J92" s="87">
        <f t="shared" si="36"/>
        <v>2009</v>
      </c>
      <c r="K92" s="87">
        <f t="shared" si="36"/>
        <v>2008</v>
      </c>
      <c r="L92" s="87">
        <f t="shared" si="36"/>
        <v>2007</v>
      </c>
      <c r="M92" s="87">
        <f t="shared" si="36"/>
        <v>2006</v>
      </c>
    </row>
    <row r="93" spans="1:21" s="100" customFormat="1" ht="15.75">
      <c r="A93" s="101" t="s">
        <v>151</v>
      </c>
      <c r="B93" s="107">
        <v>-5.7378861939195953E-2</v>
      </c>
      <c r="C93" s="107">
        <v>-0.06</v>
      </c>
      <c r="D93" s="107">
        <v>7.0000274387905001E-2</v>
      </c>
      <c r="E93" s="107">
        <v>9.0000352784449303E-2</v>
      </c>
      <c r="F93" s="107">
        <v>0.130000509577538</v>
      </c>
      <c r="G93" s="107">
        <v>0</v>
      </c>
      <c r="H93" s="107">
        <v>-0.25000097995680398</v>
      </c>
      <c r="I93" s="107">
        <v>-0.58000227349978395</v>
      </c>
      <c r="J93" s="107">
        <v>-2.17000850602505</v>
      </c>
      <c r="K93" s="107">
        <v>-1.9200075260682501</v>
      </c>
      <c r="L93" s="107">
        <v>-0.36000141113779699</v>
      </c>
      <c r="M93" s="107">
        <v>7.0000274387905001E-2</v>
      </c>
      <c r="O93" s="86"/>
      <c r="P93" s="86"/>
      <c r="Q93" s="86"/>
      <c r="R93" s="86"/>
      <c r="S93" s="86"/>
      <c r="T93" s="86"/>
      <c r="U93" s="86"/>
    </row>
    <row r="94" spans="1:21" ht="15.75">
      <c r="A94" s="88" t="s">
        <v>202</v>
      </c>
      <c r="B94" s="89" t="s">
        <v>203</v>
      </c>
      <c r="C94" s="89">
        <v>78957</v>
      </c>
      <c r="D94" s="89">
        <v>70046</v>
      </c>
      <c r="E94" s="89">
        <v>24883</v>
      </c>
      <c r="F94" s="89">
        <v>10008</v>
      </c>
      <c r="G94" s="89">
        <v>15747</v>
      </c>
      <c r="H94" s="89">
        <v>24095</v>
      </c>
      <c r="I94" s="89">
        <v>14718</v>
      </c>
      <c r="J94" s="89">
        <v>15240</v>
      </c>
      <c r="K94" s="89">
        <v>9340</v>
      </c>
      <c r="L94" s="89">
        <v>36552</v>
      </c>
      <c r="M94" s="89">
        <v>29467</v>
      </c>
      <c r="O94" s="100"/>
      <c r="P94" s="100"/>
      <c r="Q94" s="100"/>
      <c r="R94" s="100"/>
      <c r="S94" s="100"/>
      <c r="T94" s="100"/>
      <c r="U94" s="100"/>
    </row>
    <row r="95" spans="1:21" ht="15.75">
      <c r="A95" s="88" t="s">
        <v>28</v>
      </c>
      <c r="B95" s="89">
        <v>-9516</v>
      </c>
      <c r="C95" s="89">
        <v>-9418</v>
      </c>
      <c r="D95" s="89">
        <v>8185</v>
      </c>
      <c r="E95" s="89">
        <v>6703</v>
      </c>
      <c r="F95" s="89">
        <v>6232</v>
      </c>
      <c r="G95" s="89">
        <v>79</v>
      </c>
      <c r="H95" s="89">
        <v>-9588</v>
      </c>
      <c r="I95" s="89">
        <v>-10768</v>
      </c>
      <c r="J95" s="89">
        <v>-32118</v>
      </c>
      <c r="K95" s="89">
        <v>-27955</v>
      </c>
      <c r="L95" s="89">
        <v>-5216</v>
      </c>
      <c r="M95" s="89">
        <v>757</v>
      </c>
    </row>
    <row r="96" spans="1:21" s="100" customFormat="1" ht="15.75">
      <c r="A96" s="108" t="s">
        <v>143</v>
      </c>
      <c r="B96" s="109">
        <v>-4.5</v>
      </c>
      <c r="C96" s="109">
        <f>C94/C95</f>
        <v>-8.3836270970482047</v>
      </c>
      <c r="D96" s="109">
        <f t="shared" ref="D96:M96" si="37">D94/D95</f>
        <v>8.5578497251069034</v>
      </c>
      <c r="E96" s="109">
        <f t="shared" si="37"/>
        <v>3.712218409667313</v>
      </c>
      <c r="F96" s="109">
        <f t="shared" si="37"/>
        <v>1.6059050064184852</v>
      </c>
      <c r="G96" s="109">
        <f t="shared" si="37"/>
        <v>199.32911392405063</v>
      </c>
      <c r="H96" s="109">
        <f t="shared" si="37"/>
        <v>-2.5130371297455154</v>
      </c>
      <c r="I96" s="109">
        <f t="shared" si="37"/>
        <v>-1.3668276374442794</v>
      </c>
      <c r="J96" s="109">
        <f t="shared" si="37"/>
        <v>-0.47450028021670093</v>
      </c>
      <c r="K96" s="109">
        <f t="shared" si="37"/>
        <v>-0.33410838848148811</v>
      </c>
      <c r="L96" s="109">
        <f t="shared" si="37"/>
        <v>-7.007668711656442</v>
      </c>
      <c r="M96" s="109">
        <f t="shared" si="37"/>
        <v>38.926023778071333</v>
      </c>
      <c r="O96" s="86"/>
      <c r="P96" s="86"/>
      <c r="Q96" s="86"/>
      <c r="R96" s="86"/>
      <c r="S96" s="86"/>
      <c r="T96" s="86"/>
      <c r="U96" s="86"/>
    </row>
    <row r="97" spans="1:21" ht="15.75">
      <c r="A97" s="88" t="s">
        <v>202</v>
      </c>
      <c r="B97" s="89" t="s">
        <v>203</v>
      </c>
      <c r="C97" s="89">
        <v>78957</v>
      </c>
      <c r="D97" s="89">
        <v>70046</v>
      </c>
      <c r="E97" s="89">
        <v>24883</v>
      </c>
      <c r="F97" s="89">
        <v>10008</v>
      </c>
      <c r="G97" s="89">
        <v>15747</v>
      </c>
      <c r="H97" s="89">
        <v>24095</v>
      </c>
      <c r="I97" s="89">
        <v>14718</v>
      </c>
      <c r="J97" s="89">
        <v>15240</v>
      </c>
      <c r="K97" s="89">
        <v>9340</v>
      </c>
      <c r="L97" s="89">
        <v>36552</v>
      </c>
      <c r="M97" s="89">
        <v>29467</v>
      </c>
      <c r="O97" s="100"/>
      <c r="P97" s="100"/>
      <c r="Q97" s="100"/>
      <c r="R97" s="100"/>
      <c r="S97" s="100"/>
      <c r="T97" s="100"/>
      <c r="U97" s="100"/>
    </row>
    <row r="98" spans="1:21" ht="15.75">
      <c r="A98" s="88" t="s">
        <v>82</v>
      </c>
      <c r="B98" s="89">
        <v>69438</v>
      </c>
      <c r="C98" s="89">
        <v>69586</v>
      </c>
      <c r="D98" s="89">
        <v>78958</v>
      </c>
      <c r="E98" s="89">
        <v>23466</v>
      </c>
      <c r="F98" s="89">
        <v>11277</v>
      </c>
      <c r="G98" s="89">
        <v>334</v>
      </c>
      <c r="H98" s="89">
        <v>-893</v>
      </c>
      <c r="I98" s="89">
        <v>-5925</v>
      </c>
      <c r="J98" s="89">
        <v>4624</v>
      </c>
      <c r="K98" s="89">
        <v>31673</v>
      </c>
      <c r="L98" s="89">
        <v>59580</v>
      </c>
      <c r="M98" s="89">
        <v>39921</v>
      </c>
    </row>
    <row r="99" spans="1:21" s="100" customFormat="1" ht="15.75">
      <c r="A99" s="108" t="s">
        <v>142</v>
      </c>
      <c r="B99" s="109">
        <v>0.62</v>
      </c>
      <c r="C99" s="109">
        <f>C97/C98</f>
        <v>1.134667892966976</v>
      </c>
      <c r="D99" s="109">
        <f t="shared" ref="D99:M99" si="38">D97/D98</f>
        <v>0.88712986651130976</v>
      </c>
      <c r="E99" s="109">
        <f t="shared" si="38"/>
        <v>1.0603852382169947</v>
      </c>
      <c r="F99" s="109">
        <f t="shared" si="38"/>
        <v>0.88747007182761373</v>
      </c>
      <c r="G99" s="109">
        <f t="shared" si="38"/>
        <v>47.146706586826348</v>
      </c>
      <c r="H99" s="109">
        <f t="shared" si="38"/>
        <v>-26.982082866741322</v>
      </c>
      <c r="I99" s="109">
        <f t="shared" si="38"/>
        <v>-2.4840506329113925</v>
      </c>
      <c r="J99" s="109">
        <f t="shared" si="38"/>
        <v>3.2958477508650521</v>
      </c>
      <c r="K99" s="109">
        <f t="shared" si="38"/>
        <v>0.29488839074290407</v>
      </c>
      <c r="L99" s="109">
        <f t="shared" si="38"/>
        <v>0.61349446122860019</v>
      </c>
      <c r="M99" s="109">
        <f t="shared" si="38"/>
        <v>0.73813281230430094</v>
      </c>
      <c r="O99" s="86"/>
      <c r="P99" s="86"/>
      <c r="Q99" s="86"/>
      <c r="R99" s="86"/>
      <c r="S99" s="86"/>
      <c r="T99" s="86"/>
      <c r="U99" s="86"/>
    </row>
    <row r="100" spans="1:21" ht="15.75">
      <c r="A100" s="88" t="s">
        <v>147</v>
      </c>
      <c r="B100" s="89">
        <v>16117</v>
      </c>
      <c r="C100" s="89">
        <v>16564</v>
      </c>
      <c r="D100" s="89">
        <v>12536</v>
      </c>
      <c r="E100" s="89">
        <v>11316</v>
      </c>
      <c r="F100" s="89">
        <v>11932</v>
      </c>
      <c r="G100" s="89">
        <v>13456</v>
      </c>
      <c r="H100" s="89">
        <v>5497</v>
      </c>
      <c r="I100" s="89">
        <v>4698</v>
      </c>
      <c r="J100" s="89">
        <v>-5136</v>
      </c>
      <c r="K100" s="89">
        <v>-4263</v>
      </c>
      <c r="L100" s="89">
        <v>11920</v>
      </c>
      <c r="M100" s="89">
        <v>10662</v>
      </c>
    </row>
    <row r="101" spans="1:21" ht="15.75">
      <c r="A101" s="88" t="s">
        <v>62</v>
      </c>
      <c r="B101" s="89">
        <f>18649+10056</f>
        <v>28705</v>
      </c>
      <c r="C101" s="89">
        <v>22500</v>
      </c>
      <c r="D101" s="89">
        <v>26586</v>
      </c>
      <c r="E101" s="89">
        <v>30264</v>
      </c>
      <c r="F101" s="89">
        <v>32464</v>
      </c>
      <c r="G101" s="89">
        <v>50198</v>
      </c>
      <c r="H101" s="89">
        <v>55546</v>
      </c>
      <c r="I101" s="89">
        <v>57905</v>
      </c>
      <c r="J101" s="89">
        <v>53498</v>
      </c>
      <c r="K101" s="89">
        <v>81307</v>
      </c>
      <c r="L101" s="89">
        <v>40639</v>
      </c>
      <c r="M101" s="89">
        <v>7385</v>
      </c>
    </row>
    <row r="102" spans="1:21" ht="15.75">
      <c r="A102" s="88" t="s">
        <v>71</v>
      </c>
      <c r="B102" s="89">
        <v>51477</v>
      </c>
      <c r="C102" s="89">
        <v>61733</v>
      </c>
      <c r="D102" s="89">
        <v>69134</v>
      </c>
      <c r="E102" s="89">
        <v>22282</v>
      </c>
      <c r="F102" s="89">
        <v>28732</v>
      </c>
      <c r="G102" s="89">
        <v>25114</v>
      </c>
      <c r="H102" s="89">
        <v>29093</v>
      </c>
      <c r="I102" s="89">
        <v>37410</v>
      </c>
      <c r="J102" s="89">
        <v>41643</v>
      </c>
      <c r="K102" s="89">
        <v>34796</v>
      </c>
      <c r="L102" s="89">
        <v>40922</v>
      </c>
      <c r="M102" s="89">
        <v>46995</v>
      </c>
    </row>
    <row r="103" spans="1:21" ht="15.75">
      <c r="A103" s="88" t="s">
        <v>72</v>
      </c>
      <c r="B103" s="89">
        <v>4748</v>
      </c>
      <c r="C103" s="89">
        <v>5951</v>
      </c>
      <c r="D103" s="89">
        <v>8447</v>
      </c>
      <c r="E103" s="89">
        <v>4189</v>
      </c>
      <c r="F103" s="89">
        <v>0</v>
      </c>
      <c r="G103" s="89">
        <v>1606</v>
      </c>
      <c r="H103" s="89">
        <v>1466</v>
      </c>
      <c r="I103" s="89">
        <v>2044</v>
      </c>
      <c r="J103" s="89">
        <v>0</v>
      </c>
      <c r="K103" s="89">
        <v>0</v>
      </c>
      <c r="L103" s="89">
        <v>0</v>
      </c>
      <c r="M103" s="89">
        <v>2627</v>
      </c>
    </row>
    <row r="104" spans="1:21" ht="15.75">
      <c r="A104" s="88" t="s">
        <v>78</v>
      </c>
      <c r="B104" s="89">
        <v>1211</v>
      </c>
      <c r="C104" s="89">
        <v>1359</v>
      </c>
      <c r="D104" s="89">
        <v>2004</v>
      </c>
      <c r="E104" s="89">
        <v>2405</v>
      </c>
      <c r="F104" s="89">
        <v>2587</v>
      </c>
      <c r="G104" s="89">
        <v>3018</v>
      </c>
      <c r="H104" s="89">
        <v>5110</v>
      </c>
      <c r="I104" s="89">
        <v>4925</v>
      </c>
      <c r="J104" s="89">
        <v>4670</v>
      </c>
      <c r="K104" s="89">
        <v>2644</v>
      </c>
      <c r="L104" s="89">
        <v>2845</v>
      </c>
      <c r="M104" s="89">
        <v>0</v>
      </c>
    </row>
    <row r="105" spans="1:21" ht="15.75">
      <c r="A105" s="88" t="s">
        <v>202</v>
      </c>
      <c r="B105" s="89" t="s">
        <v>203</v>
      </c>
      <c r="C105" s="89">
        <v>78957</v>
      </c>
      <c r="D105" s="89">
        <v>70046</v>
      </c>
      <c r="E105" s="89">
        <v>24883</v>
      </c>
      <c r="F105" s="89">
        <v>10008</v>
      </c>
      <c r="G105" s="89">
        <v>15747</v>
      </c>
      <c r="H105" s="89">
        <v>24095</v>
      </c>
      <c r="I105" s="89">
        <v>14718</v>
      </c>
      <c r="J105" s="89">
        <v>15240</v>
      </c>
      <c r="K105" s="89">
        <v>9340</v>
      </c>
      <c r="L105" s="89">
        <v>36552</v>
      </c>
      <c r="M105" s="89">
        <v>29467</v>
      </c>
      <c r="O105" s="100"/>
      <c r="P105" s="100"/>
      <c r="Q105" s="100"/>
      <c r="R105" s="100"/>
      <c r="S105" s="100"/>
      <c r="T105" s="100"/>
      <c r="U105" s="100"/>
    </row>
    <row r="106" spans="1:21" ht="15">
      <c r="A106" s="111" t="s">
        <v>204</v>
      </c>
      <c r="B106" s="112">
        <f>SUM(B101:B105)</f>
        <v>86141</v>
      </c>
      <c r="C106" s="112">
        <f>SUM(C101:C105)</f>
        <v>170500</v>
      </c>
      <c r="D106" s="112">
        <f t="shared" ref="D106:M106" si="39">SUM(D101:D105)</f>
        <v>176217</v>
      </c>
      <c r="E106" s="112">
        <f t="shared" si="39"/>
        <v>84023</v>
      </c>
      <c r="F106" s="112">
        <f t="shared" si="39"/>
        <v>73791</v>
      </c>
      <c r="G106" s="112">
        <f t="shared" si="39"/>
        <v>95683</v>
      </c>
      <c r="H106" s="112">
        <f t="shared" si="39"/>
        <v>115310</v>
      </c>
      <c r="I106" s="112">
        <f t="shared" si="39"/>
        <v>117002</v>
      </c>
      <c r="J106" s="112">
        <f t="shared" si="39"/>
        <v>115051</v>
      </c>
      <c r="K106" s="112">
        <f t="shared" si="39"/>
        <v>128087</v>
      </c>
      <c r="L106" s="112">
        <f t="shared" si="39"/>
        <v>120958</v>
      </c>
      <c r="M106" s="112">
        <f t="shared" si="39"/>
        <v>86474</v>
      </c>
      <c r="O106" s="100"/>
      <c r="P106" s="100"/>
      <c r="Q106" s="100"/>
      <c r="R106" s="100"/>
      <c r="S106" s="100"/>
      <c r="T106" s="100"/>
      <c r="U106" s="100"/>
    </row>
    <row r="107" spans="1:21" s="100" customFormat="1" ht="15.75">
      <c r="A107" s="108" t="s">
        <v>205</v>
      </c>
      <c r="B107" s="109">
        <f>B106/B100</f>
        <v>5.3447291679592972</v>
      </c>
      <c r="C107" s="109">
        <f t="shared" ref="C107:M107" si="40">C106/C100</f>
        <v>10.293407389519439</v>
      </c>
      <c r="D107" s="109">
        <f t="shared" si="40"/>
        <v>14.056876196553924</v>
      </c>
      <c r="E107" s="109">
        <f t="shared" si="40"/>
        <v>7.4251502297631671</v>
      </c>
      <c r="F107" s="109">
        <f t="shared" si="40"/>
        <v>6.1842943345625212</v>
      </c>
      <c r="G107" s="109">
        <f t="shared" si="40"/>
        <v>7.1108055885850181</v>
      </c>
      <c r="H107" s="109">
        <f t="shared" si="40"/>
        <v>20.976896488993997</v>
      </c>
      <c r="I107" s="109">
        <f t="shared" si="40"/>
        <v>24.904640272456366</v>
      </c>
      <c r="J107" s="109">
        <f t="shared" si="40"/>
        <v>-22.400895638629283</v>
      </c>
      <c r="K107" s="109">
        <f t="shared" si="40"/>
        <v>-30.046211588083509</v>
      </c>
      <c r="L107" s="109">
        <f t="shared" si="40"/>
        <v>10.147483221476509</v>
      </c>
      <c r="M107" s="109">
        <f t="shared" si="40"/>
        <v>8.110485837553929</v>
      </c>
      <c r="O107" s="86"/>
      <c r="P107" s="86"/>
      <c r="Q107" s="86"/>
      <c r="R107" s="86"/>
      <c r="S107" s="86"/>
      <c r="T107" s="86"/>
      <c r="U107" s="86"/>
    </row>
    <row r="108" spans="1:21" s="100" customFormat="1" ht="15.75">
      <c r="A108" s="108" t="s">
        <v>206</v>
      </c>
      <c r="B108" s="110">
        <f>B100/B106</f>
        <v>0.18710021940771526</v>
      </c>
      <c r="C108" s="110">
        <f t="shared" ref="C108:M108" si="41">C100/C106</f>
        <v>9.7149560117302053E-2</v>
      </c>
      <c r="D108" s="110">
        <f t="shared" si="41"/>
        <v>7.1139560882321234E-2</v>
      </c>
      <c r="E108" s="110">
        <f t="shared" si="41"/>
        <v>0.1346774097568523</v>
      </c>
      <c r="F108" s="110">
        <f t="shared" si="41"/>
        <v>0.16169993630659565</v>
      </c>
      <c r="G108" s="110">
        <f t="shared" si="41"/>
        <v>0.14063104208689109</v>
      </c>
      <c r="H108" s="110">
        <f t="shared" si="41"/>
        <v>4.7671494232937296E-2</v>
      </c>
      <c r="I108" s="110">
        <f t="shared" si="41"/>
        <v>4.0153159775046583E-2</v>
      </c>
      <c r="J108" s="110">
        <f t="shared" si="41"/>
        <v>-4.464107222014585E-2</v>
      </c>
      <c r="K108" s="110">
        <f t="shared" si="41"/>
        <v>-3.3282066095700578E-2</v>
      </c>
      <c r="L108" s="110">
        <f t="shared" si="41"/>
        <v>9.8546602953091159E-2</v>
      </c>
      <c r="M108" s="110">
        <f t="shared" si="41"/>
        <v>0.1232971760297893</v>
      </c>
    </row>
    <row r="109" spans="1:21" ht="15.75">
      <c r="A109" s="88" t="s">
        <v>169</v>
      </c>
      <c r="B109" s="93">
        <v>24109</v>
      </c>
      <c r="C109" s="93">
        <v>26144</v>
      </c>
      <c r="D109" s="93">
        <v>-22990</v>
      </c>
      <c r="E109" s="93">
        <v>13314</v>
      </c>
      <c r="F109" s="93">
        <v>13668</v>
      </c>
      <c r="G109" s="93">
        <v>20225</v>
      </c>
      <c r="H109" s="93">
        <v>4541</v>
      </c>
      <c r="I109" s="93">
        <v>6948</v>
      </c>
      <c r="J109" s="93">
        <v>25382</v>
      </c>
      <c r="K109" s="93">
        <v>-6750</v>
      </c>
      <c r="L109" s="93">
        <v>1130</v>
      </c>
      <c r="M109" s="93">
        <v>15826</v>
      </c>
    </row>
    <row r="110" spans="1:21" s="100" customFormat="1" ht="15.75">
      <c r="A110" s="108" t="s">
        <v>207</v>
      </c>
      <c r="B110" s="110">
        <f>B109/B106</f>
        <v>0.27987833900233339</v>
      </c>
      <c r="C110" s="110">
        <f t="shared" ref="C110:M110" si="42">C109/C106</f>
        <v>0.15333724340175953</v>
      </c>
      <c r="D110" s="110">
        <f t="shared" si="42"/>
        <v>-0.13046414364107889</v>
      </c>
      <c r="E110" s="110">
        <f t="shared" si="42"/>
        <v>0.15845661307023076</v>
      </c>
      <c r="F110" s="110">
        <f t="shared" si="42"/>
        <v>0.18522584054966051</v>
      </c>
      <c r="G110" s="110">
        <f t="shared" si="42"/>
        <v>0.21137506140066678</v>
      </c>
      <c r="H110" s="110">
        <f t="shared" si="42"/>
        <v>3.9380799583730815E-2</v>
      </c>
      <c r="I110" s="110">
        <f t="shared" si="42"/>
        <v>5.9383600280337089E-2</v>
      </c>
      <c r="J110" s="110">
        <f t="shared" si="42"/>
        <v>0.22061520543063512</v>
      </c>
      <c r="K110" s="110">
        <f t="shared" si="42"/>
        <v>-5.2698556449912948E-2</v>
      </c>
      <c r="L110" s="110">
        <f t="shared" si="42"/>
        <v>9.3420856826336423E-3</v>
      </c>
      <c r="M110" s="110">
        <f t="shared" si="42"/>
        <v>0.18301454772532785</v>
      </c>
      <c r="O110" s="19"/>
      <c r="P110" s="86"/>
      <c r="Q110" s="86"/>
      <c r="R110" s="86"/>
      <c r="S110" s="86"/>
      <c r="T110" s="86"/>
      <c r="U110" s="86"/>
    </row>
    <row r="111" spans="1:21" ht="15.75">
      <c r="A111" s="88" t="s">
        <v>169</v>
      </c>
      <c r="B111" s="93">
        <v>24109</v>
      </c>
      <c r="C111" s="93">
        <v>26144</v>
      </c>
      <c r="D111" s="93">
        <v>-22990</v>
      </c>
      <c r="E111" s="93">
        <v>13314</v>
      </c>
      <c r="F111" s="93">
        <v>13668</v>
      </c>
      <c r="G111" s="93">
        <v>20225</v>
      </c>
      <c r="H111" s="93">
        <v>4541</v>
      </c>
      <c r="I111" s="93">
        <v>6948</v>
      </c>
      <c r="J111" s="93">
        <v>25382</v>
      </c>
      <c r="K111" s="93">
        <v>-6750</v>
      </c>
      <c r="L111" s="93">
        <v>1130</v>
      </c>
      <c r="M111" s="93">
        <v>15826</v>
      </c>
      <c r="O111" s="100"/>
      <c r="P111" s="100"/>
      <c r="Q111" s="100"/>
      <c r="R111" s="100"/>
      <c r="S111" s="100"/>
      <c r="T111" s="100"/>
      <c r="U111" s="100"/>
    </row>
    <row r="112" spans="1:21">
      <c r="A112" s="113" t="s">
        <v>112</v>
      </c>
      <c r="B112" s="114">
        <f>-5501+2176-818</f>
        <v>-4143</v>
      </c>
      <c r="C112" s="114">
        <v>-5501</v>
      </c>
      <c r="D112" s="114">
        <v>-5377</v>
      </c>
      <c r="E112" s="114">
        <v>-6425</v>
      </c>
      <c r="F112" s="114">
        <v>-2379</v>
      </c>
      <c r="G112" s="114">
        <v>-1154</v>
      </c>
      <c r="H112" s="114">
        <v>-852</v>
      </c>
      <c r="I112" s="114">
        <v>-1374</v>
      </c>
      <c r="J112" s="114">
        <v>-5125</v>
      </c>
      <c r="K112" s="114">
        <v>-8078</v>
      </c>
      <c r="L112" s="114">
        <v>-6787</v>
      </c>
      <c r="M112" s="114">
        <v>-4570</v>
      </c>
      <c r="N112" s="19"/>
    </row>
    <row r="113" spans="1:21" s="100" customFormat="1" ht="15.75">
      <c r="A113" s="101" t="s">
        <v>208</v>
      </c>
      <c r="B113" s="102">
        <f>B111+B112</f>
        <v>19966</v>
      </c>
      <c r="C113" s="102">
        <f t="shared" ref="C113:M113" si="43">C111+C112</f>
        <v>20643</v>
      </c>
      <c r="D113" s="102">
        <f t="shared" si="43"/>
        <v>-28367</v>
      </c>
      <c r="E113" s="102">
        <f t="shared" si="43"/>
        <v>6889</v>
      </c>
      <c r="F113" s="102">
        <f t="shared" si="43"/>
        <v>11289</v>
      </c>
      <c r="G113" s="102">
        <f t="shared" si="43"/>
        <v>19071</v>
      </c>
      <c r="H113" s="102">
        <f t="shared" si="43"/>
        <v>3689</v>
      </c>
      <c r="I113" s="102">
        <f t="shared" si="43"/>
        <v>5574</v>
      </c>
      <c r="J113" s="102">
        <f t="shared" si="43"/>
        <v>20257</v>
      </c>
      <c r="K113" s="102">
        <f t="shared" si="43"/>
        <v>-14828</v>
      </c>
      <c r="L113" s="102">
        <f t="shared" si="43"/>
        <v>-5657</v>
      </c>
      <c r="M113" s="102">
        <f t="shared" si="43"/>
        <v>11256</v>
      </c>
      <c r="O113" s="86"/>
      <c r="P113" s="86"/>
      <c r="Q113" s="86"/>
      <c r="R113" s="86"/>
      <c r="S113" s="86"/>
      <c r="T113" s="86"/>
      <c r="U113" s="86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66C0-6AD3-4D3D-B949-EC3B6B578370}">
  <dimension ref="A1:M21"/>
  <sheetViews>
    <sheetView rightToLeft="1" workbookViewId="0"/>
  </sheetViews>
  <sheetFormatPr defaultRowHeight="14.25"/>
  <cols>
    <col min="1" max="1" width="12.375" bestFit="1" customWidth="1"/>
    <col min="3" max="13" width="9.375" bestFit="1" customWidth="1"/>
  </cols>
  <sheetData>
    <row r="1" spans="1:13" ht="15.75">
      <c r="A1" s="108" t="s">
        <v>205</v>
      </c>
      <c r="B1" s="109" t="s">
        <v>211</v>
      </c>
      <c r="C1" s="236">
        <v>42735</v>
      </c>
      <c r="D1" s="236">
        <v>42369</v>
      </c>
      <c r="E1" s="236">
        <v>42004</v>
      </c>
      <c r="F1" s="236">
        <v>41639</v>
      </c>
      <c r="G1" s="236">
        <v>41274</v>
      </c>
      <c r="H1" s="236">
        <v>40908</v>
      </c>
      <c r="I1" s="236">
        <v>40543</v>
      </c>
      <c r="J1" s="236">
        <v>40178</v>
      </c>
      <c r="K1" s="236">
        <v>39813</v>
      </c>
      <c r="L1" s="236">
        <v>39447</v>
      </c>
      <c r="M1" s="236">
        <v>39082</v>
      </c>
    </row>
    <row r="2" spans="1:13">
      <c r="A2" s="237" t="s">
        <v>205</v>
      </c>
      <c r="B2" s="237">
        <v>4.1678440100638667</v>
      </c>
      <c r="C2" s="237">
        <v>10.293407389519439</v>
      </c>
      <c r="D2" s="237">
        <v>14.056876196553924</v>
      </c>
      <c r="E2" s="237">
        <v>7.4251502297631671</v>
      </c>
      <c r="F2" s="237">
        <v>6.1842943345625212</v>
      </c>
      <c r="G2" s="237">
        <v>7.1108055885850181</v>
      </c>
      <c r="H2" s="237">
        <v>20.976896488993997</v>
      </c>
      <c r="I2" s="237">
        <v>24.904640272456366</v>
      </c>
      <c r="J2" s="237">
        <v>-22.400895638629283</v>
      </c>
      <c r="K2" s="237">
        <v>-30.046211588083509</v>
      </c>
      <c r="L2" s="237">
        <v>10.147483221476509</v>
      </c>
      <c r="M2" s="237">
        <v>8.110485837553929</v>
      </c>
    </row>
    <row r="3" spans="1:13">
      <c r="A3" s="28" t="s">
        <v>212</v>
      </c>
      <c r="B3" s="28">
        <v>28.1</v>
      </c>
      <c r="C3" s="238">
        <v>47.5</v>
      </c>
      <c r="D3" s="238">
        <v>41.5</v>
      </c>
      <c r="E3" s="238">
        <v>32</v>
      </c>
      <c r="F3" s="238">
        <v>20.45</v>
      </c>
      <c r="G3" s="238">
        <v>32.17</v>
      </c>
      <c r="H3" s="238">
        <v>58.15</v>
      </c>
      <c r="I3" s="238">
        <v>67.84</v>
      </c>
      <c r="J3" s="238">
        <v>78.89</v>
      </c>
      <c r="K3" s="238">
        <v>31.69</v>
      </c>
      <c r="L3" s="238">
        <v>210.52</v>
      </c>
      <c r="M3" s="238">
        <v>194.23</v>
      </c>
    </row>
    <row r="4" spans="1:13" ht="15.75">
      <c r="A4" s="108" t="s">
        <v>205</v>
      </c>
      <c r="B4" s="109" t="s">
        <v>211</v>
      </c>
      <c r="C4" s="236">
        <v>42735</v>
      </c>
      <c r="D4" s="236">
        <v>42369</v>
      </c>
      <c r="E4" s="236">
        <v>42004</v>
      </c>
      <c r="F4" s="236">
        <v>41639</v>
      </c>
      <c r="G4" s="236">
        <v>41274</v>
      </c>
      <c r="H4" s="236">
        <v>40908</v>
      </c>
      <c r="I4" s="236">
        <v>40543</v>
      </c>
      <c r="J4" s="236">
        <v>40178</v>
      </c>
      <c r="K4" s="236">
        <v>39813</v>
      </c>
      <c r="L4" s="236">
        <v>39447</v>
      </c>
      <c r="M4" s="236">
        <v>39082</v>
      </c>
    </row>
    <row r="5" spans="1:13">
      <c r="A5" s="237" t="s">
        <v>205</v>
      </c>
      <c r="B5" s="239">
        <f t="shared" ref="B5:J5" si="0">(B2-C2)/C2</f>
        <v>-0.59509578778476313</v>
      </c>
      <c r="C5" s="239">
        <f t="shared" si="0"/>
        <v>-0.26773151832674663</v>
      </c>
      <c r="D5" s="239">
        <f t="shared" si="0"/>
        <v>0.89314367542463624</v>
      </c>
      <c r="E5" s="239">
        <f t="shared" si="0"/>
        <v>0.20064631921960815</v>
      </c>
      <c r="F5" s="239">
        <f t="shared" si="0"/>
        <v>-0.13029624315841601</v>
      </c>
      <c r="G5" s="239">
        <f t="shared" si="0"/>
        <v>-0.66101727239223096</v>
      </c>
      <c r="H5" s="239">
        <f t="shared" si="0"/>
        <v>-0.15771132369281043</v>
      </c>
      <c r="I5" s="239">
        <v>-0.2</v>
      </c>
      <c r="J5" s="239">
        <f t="shared" si="0"/>
        <v>-0.25445191075224938</v>
      </c>
      <c r="K5" s="239">
        <v>-0.1</v>
      </c>
      <c r="L5" s="239">
        <f>(L2-M2)/M2</f>
        <v>0.25115602501772272</v>
      </c>
      <c r="M5" s="239">
        <v>0</v>
      </c>
    </row>
    <row r="6" spans="1:13">
      <c r="A6" s="28" t="s">
        <v>212</v>
      </c>
      <c r="B6" s="239">
        <f t="shared" ref="B6:K6" si="1">(B3-C3)/C3</f>
        <v>-0.40842105263157891</v>
      </c>
      <c r="C6" s="239">
        <f t="shared" si="1"/>
        <v>0.14457831325301204</v>
      </c>
      <c r="D6" s="239">
        <f t="shared" si="1"/>
        <v>0.296875</v>
      </c>
      <c r="E6" s="239">
        <f t="shared" si="1"/>
        <v>0.56479217603911991</v>
      </c>
      <c r="F6" s="239">
        <f t="shared" si="1"/>
        <v>-0.36431457880012441</v>
      </c>
      <c r="G6" s="239">
        <f t="shared" si="1"/>
        <v>-0.44677558039552878</v>
      </c>
      <c r="H6" s="239">
        <f t="shared" si="1"/>
        <v>-0.14283608490566044</v>
      </c>
      <c r="I6" s="239">
        <f t="shared" si="1"/>
        <v>-0.14006844974014446</v>
      </c>
      <c r="J6" s="239">
        <f t="shared" si="1"/>
        <v>1.489428841905964</v>
      </c>
      <c r="K6" s="239">
        <f t="shared" si="1"/>
        <v>-0.84946798403952117</v>
      </c>
      <c r="L6" s="239">
        <f>(L3-M3)/M3</f>
        <v>8.3869639087679665E-2</v>
      </c>
      <c r="M6" s="239">
        <v>0</v>
      </c>
    </row>
    <row r="7" spans="1:13">
      <c r="B7" s="207"/>
    </row>
    <row r="8" spans="1:13">
      <c r="B8" s="207"/>
    </row>
    <row r="9" spans="1:13">
      <c r="B9" s="207"/>
    </row>
    <row r="21" spans="2:2">
      <c r="B21" s="207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010F-69D9-4D6A-9E1B-D636D0546787}">
  <dimension ref="A1:Y28"/>
  <sheetViews>
    <sheetView rightToLeft="1" topLeftCell="A8" workbookViewId="0">
      <selection activeCell="C8" sqref="C8"/>
    </sheetView>
  </sheetViews>
  <sheetFormatPr defaultRowHeight="14.25"/>
  <cols>
    <col min="1" max="1" width="35.5" bestFit="1" customWidth="1"/>
    <col min="2" max="12" width="7.875" bestFit="1" customWidth="1"/>
    <col min="13" max="24" width="6.875" bestFit="1" customWidth="1"/>
  </cols>
  <sheetData>
    <row r="1" spans="1:24">
      <c r="B1" s="214"/>
      <c r="C1" s="214"/>
      <c r="D1" s="214"/>
      <c r="E1" s="214"/>
      <c r="F1" s="214"/>
    </row>
    <row r="2" spans="1:24">
      <c r="A2" s="208"/>
    </row>
    <row r="9" spans="1:24" ht="31.5">
      <c r="A9" s="221" t="s">
        <v>29</v>
      </c>
      <c r="B9" s="222">
        <v>2016</v>
      </c>
      <c r="C9" s="222">
        <f t="shared" ref="C9:L9" si="0">B9-1</f>
        <v>2015</v>
      </c>
      <c r="D9" s="222">
        <f t="shared" si="0"/>
        <v>2014</v>
      </c>
      <c r="E9" s="222">
        <f t="shared" si="0"/>
        <v>2013</v>
      </c>
      <c r="F9" s="222">
        <f t="shared" si="0"/>
        <v>2012</v>
      </c>
      <c r="G9" s="215">
        <f t="shared" si="0"/>
        <v>2011</v>
      </c>
      <c r="H9" s="215">
        <f t="shared" si="0"/>
        <v>2010</v>
      </c>
      <c r="I9" s="56">
        <f t="shared" si="0"/>
        <v>2009</v>
      </c>
      <c r="J9" s="56">
        <f t="shared" si="0"/>
        <v>2008</v>
      </c>
      <c r="K9" s="56">
        <f t="shared" si="0"/>
        <v>2007</v>
      </c>
      <c r="L9" s="56">
        <f t="shared" si="0"/>
        <v>2006</v>
      </c>
      <c r="M9" s="56">
        <f t="shared" ref="M9:X9" si="1">L9-1</f>
        <v>2005</v>
      </c>
      <c r="N9" s="56">
        <f t="shared" si="1"/>
        <v>2004</v>
      </c>
      <c r="O9" s="56">
        <f t="shared" si="1"/>
        <v>2003</v>
      </c>
      <c r="P9" s="56">
        <f t="shared" si="1"/>
        <v>2002</v>
      </c>
      <c r="Q9" s="56">
        <f t="shared" si="1"/>
        <v>2001</v>
      </c>
      <c r="R9" s="56">
        <f t="shared" si="1"/>
        <v>2000</v>
      </c>
      <c r="S9" s="56">
        <f t="shared" si="1"/>
        <v>1999</v>
      </c>
      <c r="T9" s="56">
        <f t="shared" si="1"/>
        <v>1998</v>
      </c>
      <c r="U9" s="56">
        <f t="shared" si="1"/>
        <v>1997</v>
      </c>
      <c r="V9" s="56">
        <f t="shared" si="1"/>
        <v>1996</v>
      </c>
      <c r="W9" s="56">
        <f t="shared" si="1"/>
        <v>1995</v>
      </c>
      <c r="X9" s="56">
        <f t="shared" si="1"/>
        <v>1994</v>
      </c>
    </row>
    <row r="10" spans="1:24" ht="15.75">
      <c r="A10" s="223" t="s">
        <v>2</v>
      </c>
      <c r="B10" s="224">
        <v>196180</v>
      </c>
      <c r="C10" s="224">
        <v>164159</v>
      </c>
      <c r="D10" s="224">
        <v>136574</v>
      </c>
      <c r="E10" s="224">
        <v>130482</v>
      </c>
      <c r="F10" s="224">
        <v>136062</v>
      </c>
      <c r="G10" s="216">
        <v>119650</v>
      </c>
      <c r="H10" s="216">
        <v>109283</v>
      </c>
      <c r="I10" s="211">
        <v>139957</v>
      </c>
      <c r="J10" s="211">
        <v>205983</v>
      </c>
      <c r="K10" s="211">
        <v>180844</v>
      </c>
      <c r="L10" s="211">
        <v>100621</v>
      </c>
      <c r="M10" s="211">
        <v>89451</v>
      </c>
      <c r="N10" s="211">
        <v>82841</v>
      </c>
      <c r="O10" s="211">
        <v>81078</v>
      </c>
      <c r="P10" s="211">
        <v>74643</v>
      </c>
      <c r="Q10" s="211">
        <v>88409</v>
      </c>
      <c r="R10" s="211">
        <v>89501</v>
      </c>
      <c r="S10" s="211">
        <v>86746</v>
      </c>
      <c r="T10" s="211">
        <v>72484</v>
      </c>
      <c r="U10" s="211">
        <v>92539</v>
      </c>
      <c r="V10" s="211">
        <v>90150</v>
      </c>
      <c r="W10" s="211">
        <v>79892</v>
      </c>
      <c r="X10" s="211">
        <v>66349</v>
      </c>
    </row>
    <row r="11" spans="1:24" ht="15.75">
      <c r="A11" s="225" t="s">
        <v>32</v>
      </c>
      <c r="B11" s="225">
        <v>223797</v>
      </c>
      <c r="C11" s="225">
        <v>236624</v>
      </c>
      <c r="D11" s="225">
        <v>135884</v>
      </c>
      <c r="E11" s="225">
        <v>111662</v>
      </c>
      <c r="F11" s="225">
        <v>119541</v>
      </c>
      <c r="G11" s="217">
        <v>127599</v>
      </c>
      <c r="H11" s="217">
        <v>121073</v>
      </c>
      <c r="I11" s="212">
        <v>141072</v>
      </c>
      <c r="J11" s="212">
        <v>219126</v>
      </c>
      <c r="K11" s="212">
        <v>232372</v>
      </c>
      <c r="L11" s="212">
        <v>126340</v>
      </c>
      <c r="M11" s="212">
        <v>136684</v>
      </c>
      <c r="N11" s="212">
        <v>111311</v>
      </c>
      <c r="O11" s="212">
        <v>116102</v>
      </c>
      <c r="P11" s="212">
        <v>104056</v>
      </c>
      <c r="Q11" s="212">
        <v>111300</v>
      </c>
      <c r="R11" s="212">
        <v>112427</v>
      </c>
      <c r="S11" s="212">
        <v>95446</v>
      </c>
      <c r="T11" s="212">
        <v>100946</v>
      </c>
      <c r="U11" s="212">
        <v>103167</v>
      </c>
      <c r="V11" s="212">
        <v>75296</v>
      </c>
      <c r="W11" s="212">
        <v>75645</v>
      </c>
      <c r="X11" s="212">
        <v>52651</v>
      </c>
    </row>
    <row r="12" spans="1:24" s="209" customFormat="1" ht="15.75">
      <c r="A12" s="225" t="s">
        <v>214</v>
      </c>
      <c r="B12" s="225">
        <v>154211</v>
      </c>
      <c r="C12" s="225">
        <v>157666</v>
      </c>
      <c r="D12" s="225">
        <v>112417</v>
      </c>
      <c r="E12" s="225">
        <v>100385</v>
      </c>
      <c r="F12" s="225">
        <v>119207</v>
      </c>
      <c r="G12" s="217">
        <v>128492</v>
      </c>
      <c r="H12" s="217">
        <v>126998</v>
      </c>
      <c r="I12" s="212">
        <v>136448</v>
      </c>
      <c r="J12" s="212">
        <v>187453</v>
      </c>
      <c r="K12" s="212">
        <v>172792</v>
      </c>
      <c r="L12" s="212">
        <v>86419</v>
      </c>
      <c r="M12" s="212">
        <v>96250</v>
      </c>
      <c r="N12" s="212">
        <v>69875</v>
      </c>
      <c r="O12" s="212">
        <v>79136</v>
      </c>
      <c r="P12" s="212">
        <v>68943</v>
      </c>
      <c r="Q12" s="212">
        <v>73811</v>
      </c>
      <c r="R12" s="212">
        <v>73396</v>
      </c>
      <c r="S12" s="212">
        <v>58518</v>
      </c>
      <c r="T12" s="212">
        <v>54263</v>
      </c>
      <c r="U12" s="212">
        <v>59212</v>
      </c>
      <c r="V12" s="212">
        <v>39429</v>
      </c>
      <c r="W12" s="212">
        <v>47118</v>
      </c>
      <c r="X12" s="212">
        <v>34150</v>
      </c>
    </row>
    <row r="13" spans="1:24" ht="15.75">
      <c r="A13" s="225" t="s">
        <v>87</v>
      </c>
      <c r="B13" s="225">
        <v>-53774</v>
      </c>
      <c r="C13" s="225">
        <v>-44356</v>
      </c>
      <c r="D13" s="225">
        <v>-52540</v>
      </c>
      <c r="E13" s="225">
        <v>-59127</v>
      </c>
      <c r="F13" s="225">
        <v>-65300</v>
      </c>
      <c r="G13" s="217">
        <v>-65334</v>
      </c>
      <c r="H13" s="217">
        <v>-55746</v>
      </c>
      <c r="I13" s="212">
        <v>-44978</v>
      </c>
      <c r="J13" s="212">
        <v>-12859</v>
      </c>
      <c r="K13" s="212">
        <v>15096</v>
      </c>
      <c r="L13" s="212">
        <v>10654</v>
      </c>
      <c r="M13" s="212">
        <v>11166</v>
      </c>
      <c r="N13" s="212">
        <v>12534</v>
      </c>
      <c r="O13" s="212">
        <v>8482</v>
      </c>
      <c r="P13" s="212">
        <v>10024</v>
      </c>
      <c r="Q13" s="212">
        <v>8845</v>
      </c>
      <c r="R13" s="212">
        <v>11545</v>
      </c>
      <c r="S13" s="212">
        <v>13468</v>
      </c>
      <c r="T13" s="212">
        <v>23612</v>
      </c>
      <c r="U13" s="212">
        <v>20891</v>
      </c>
      <c r="V13" s="212">
        <v>13135</v>
      </c>
      <c r="W13" s="212">
        <v>5394</v>
      </c>
      <c r="X13" s="212">
        <v>-4278</v>
      </c>
    </row>
    <row r="14" spans="1:24" ht="15.75">
      <c r="A14" s="225" t="s">
        <v>215</v>
      </c>
      <c r="B14" s="225">
        <v>78957</v>
      </c>
      <c r="C14" s="225">
        <v>70046</v>
      </c>
      <c r="D14" s="225">
        <v>24883</v>
      </c>
      <c r="E14" s="225">
        <v>10008</v>
      </c>
      <c r="F14" s="225">
        <v>15747</v>
      </c>
      <c r="G14" s="217">
        <v>24095</v>
      </c>
      <c r="H14" s="217">
        <v>14718</v>
      </c>
      <c r="I14" s="212">
        <v>15240</v>
      </c>
      <c r="J14" s="212">
        <v>9340</v>
      </c>
      <c r="K14" s="212">
        <v>36552</v>
      </c>
      <c r="L14" s="212">
        <v>29467</v>
      </c>
      <c r="M14" s="212">
        <v>42082</v>
      </c>
      <c r="N14" s="212">
        <v>31291</v>
      </c>
      <c r="O14" s="212">
        <v>30003</v>
      </c>
      <c r="P14" s="212">
        <v>18379</v>
      </c>
      <c r="Q14" s="212">
        <v>35209</v>
      </c>
      <c r="R14" s="212">
        <v>76613</v>
      </c>
      <c r="S14" s="212">
        <v>64428</v>
      </c>
      <c r="T14" s="212">
        <v>31372</v>
      </c>
      <c r="U14" s="212">
        <v>52818</v>
      </c>
      <c r="V14" s="212">
        <v>30378</v>
      </c>
      <c r="W14" s="212">
        <v>17668</v>
      </c>
      <c r="X14" s="212">
        <v>11040</v>
      </c>
    </row>
    <row r="15" spans="1:24" s="209" customFormat="1" ht="15.75">
      <c r="A15" s="225" t="s">
        <v>94</v>
      </c>
      <c r="B15" s="225">
        <v>-7607</v>
      </c>
      <c r="C15" s="225">
        <v>-27627</v>
      </c>
      <c r="D15" s="225">
        <v>-8462</v>
      </c>
      <c r="E15" s="225">
        <v>-3439</v>
      </c>
      <c r="F15" s="225">
        <v>6844</v>
      </c>
      <c r="G15" s="217">
        <v>-15216</v>
      </c>
      <c r="H15" s="217">
        <v>7693</v>
      </c>
      <c r="I15" s="212">
        <v>35981</v>
      </c>
      <c r="J15" s="212">
        <v>5542</v>
      </c>
      <c r="K15" s="212">
        <v>7031</v>
      </c>
      <c r="L15" s="212">
        <v>8235</v>
      </c>
      <c r="M15" s="212">
        <v>-10738</v>
      </c>
      <c r="N15" s="212">
        <v>4864</v>
      </c>
      <c r="O15" s="212">
        <v>-10024</v>
      </c>
      <c r="P15" s="212">
        <v>2328</v>
      </c>
      <c r="Q15" s="212">
        <v>241</v>
      </c>
      <c r="R15" s="212">
        <v>5133</v>
      </c>
      <c r="S15" s="212">
        <v>-12932</v>
      </c>
      <c r="T15" s="212">
        <v>2189</v>
      </c>
      <c r="U15" s="212">
        <v>-3309</v>
      </c>
      <c r="V15" s="212">
        <v>-5208</v>
      </c>
      <c r="W15" s="212">
        <v>-4255</v>
      </c>
      <c r="X15" s="212">
        <v>14118</v>
      </c>
    </row>
    <row r="16" spans="1:24" s="209" customFormat="1" ht="15.75">
      <c r="A16" s="225" t="s">
        <v>95</v>
      </c>
      <c r="B16" s="225">
        <v>7488</v>
      </c>
      <c r="C16" s="225">
        <v>4433</v>
      </c>
      <c r="D16" s="225">
        <v>-5572</v>
      </c>
      <c r="E16" s="225">
        <v>8845</v>
      </c>
      <c r="F16" s="225">
        <v>41</v>
      </c>
      <c r="G16" s="217">
        <v>4365</v>
      </c>
      <c r="H16" s="217">
        <v>6943</v>
      </c>
      <c r="I16" s="212">
        <v>19350</v>
      </c>
      <c r="J16" s="212">
        <v>4524</v>
      </c>
      <c r="K16" s="212">
        <v>-10516</v>
      </c>
      <c r="L16" s="212">
        <v>-8404</v>
      </c>
      <c r="M16" s="212">
        <v>-1112</v>
      </c>
      <c r="N16" s="212">
        <v>-3018</v>
      </c>
      <c r="O16" s="212">
        <v>5231</v>
      </c>
      <c r="P16" s="212">
        <v>2383</v>
      </c>
      <c r="Q16" s="212">
        <v>1332</v>
      </c>
      <c r="R16" s="212">
        <v>-9941</v>
      </c>
      <c r="S16" s="212">
        <v>-1137</v>
      </c>
      <c r="T16" s="212">
        <v>-5228</v>
      </c>
      <c r="U16" s="212">
        <v>-837</v>
      </c>
      <c r="V16" s="212">
        <v>5210</v>
      </c>
      <c r="W16" s="212">
        <v>-8218</v>
      </c>
      <c r="X16" s="212">
        <v>7669</v>
      </c>
    </row>
    <row r="17" spans="1:25" s="209" customFormat="1" ht="15.75">
      <c r="A17" s="225" t="s">
        <v>96</v>
      </c>
      <c r="B17" s="225">
        <v>12439</v>
      </c>
      <c r="C17" s="225">
        <v>-9340</v>
      </c>
      <c r="D17" s="225">
        <v>14696</v>
      </c>
      <c r="E17" s="225">
        <v>-2852</v>
      </c>
      <c r="F17" s="225">
        <v>1973</v>
      </c>
      <c r="G17" s="217">
        <v>11243</v>
      </c>
      <c r="H17" s="217">
        <v>-8270</v>
      </c>
      <c r="I17" s="212">
        <v>-22922</v>
      </c>
      <c r="J17" s="212">
        <v>-426</v>
      </c>
      <c r="K17" s="212">
        <v>-9343</v>
      </c>
      <c r="L17" s="212">
        <v>10963</v>
      </c>
      <c r="M17" s="212">
        <v>-3448</v>
      </c>
      <c r="N17" s="212">
        <v>-868</v>
      </c>
      <c r="O17" s="212">
        <v>-226</v>
      </c>
      <c r="P17" s="212">
        <v>-3018</v>
      </c>
      <c r="Q17" s="212">
        <v>2743</v>
      </c>
      <c r="R17" s="212">
        <v>-3967</v>
      </c>
      <c r="S17" s="212">
        <v>2777</v>
      </c>
      <c r="T17" s="212">
        <v>825</v>
      </c>
      <c r="U17" s="212">
        <v>-5234</v>
      </c>
      <c r="V17" s="212">
        <v>-4478</v>
      </c>
      <c r="W17" s="212">
        <v>11283</v>
      </c>
      <c r="X17" s="212">
        <v>-5188</v>
      </c>
    </row>
    <row r="18" spans="1:25" s="209" customFormat="1" ht="15.75">
      <c r="A18" s="225" t="s">
        <v>97</v>
      </c>
      <c r="B18" s="225">
        <v>-1222</v>
      </c>
      <c r="C18" s="225">
        <v>-346</v>
      </c>
      <c r="D18" s="225">
        <v>1284</v>
      </c>
      <c r="E18" s="225">
        <v>183</v>
      </c>
      <c r="F18" s="225">
        <v>-564</v>
      </c>
      <c r="G18" s="217">
        <v>1319</v>
      </c>
      <c r="H18" s="217">
        <v>-3492</v>
      </c>
      <c r="I18" s="212">
        <v>-4019</v>
      </c>
      <c r="J18" s="212">
        <v>-8914</v>
      </c>
      <c r="K18" s="212">
        <v>7055</v>
      </c>
      <c r="L18" s="212">
        <v>-1186</v>
      </c>
      <c r="M18" s="212">
        <v>972</v>
      </c>
      <c r="N18" s="212">
        <v>1272</v>
      </c>
      <c r="O18" s="212">
        <v>-335</v>
      </c>
      <c r="P18" s="212">
        <v>179</v>
      </c>
      <c r="Q18" s="212">
        <v>5</v>
      </c>
      <c r="R18" s="212">
        <v>-416</v>
      </c>
      <c r="S18" s="212">
        <v>1107</v>
      </c>
      <c r="T18" s="212">
        <v>-1656</v>
      </c>
      <c r="U18" s="212">
        <v>1310</v>
      </c>
      <c r="V18" s="212">
        <v>1091</v>
      </c>
      <c r="W18" s="212">
        <v>1007</v>
      </c>
      <c r="X18" s="212">
        <v>117</v>
      </c>
    </row>
    <row r="19" spans="1:25" ht="15.75">
      <c r="A19" s="225" t="s">
        <v>216</v>
      </c>
      <c r="B19" s="226">
        <f>SUM(B15:B18)</f>
        <v>11098</v>
      </c>
      <c r="C19" s="226">
        <f t="shared" ref="C19:W19" si="2">SUM(C15:C18)</f>
        <v>-32880</v>
      </c>
      <c r="D19" s="226">
        <f t="shared" si="2"/>
        <v>1946</v>
      </c>
      <c r="E19" s="226">
        <f t="shared" si="2"/>
        <v>2737</v>
      </c>
      <c r="F19" s="226">
        <f t="shared" si="2"/>
        <v>8294</v>
      </c>
      <c r="G19" s="218">
        <f t="shared" si="2"/>
        <v>1711</v>
      </c>
      <c r="H19" s="218">
        <f t="shared" si="2"/>
        <v>2874</v>
      </c>
      <c r="I19" s="210">
        <f t="shared" si="2"/>
        <v>28390</v>
      </c>
      <c r="J19" s="210">
        <f t="shared" si="2"/>
        <v>726</v>
      </c>
      <c r="K19" s="210">
        <f t="shared" si="2"/>
        <v>-5773</v>
      </c>
      <c r="L19" s="210">
        <f t="shared" si="2"/>
        <v>9608</v>
      </c>
      <c r="M19" s="210">
        <f t="shared" si="2"/>
        <v>-14326</v>
      </c>
      <c r="N19" s="210">
        <f t="shared" si="2"/>
        <v>2250</v>
      </c>
      <c r="O19" s="210">
        <f t="shared" si="2"/>
        <v>-5354</v>
      </c>
      <c r="P19" s="210">
        <f t="shared" si="2"/>
        <v>1872</v>
      </c>
      <c r="Q19" s="210">
        <f t="shared" si="2"/>
        <v>4321</v>
      </c>
      <c r="R19" s="210">
        <f t="shared" si="2"/>
        <v>-9191</v>
      </c>
      <c r="S19" s="210">
        <f t="shared" si="2"/>
        <v>-10185</v>
      </c>
      <c r="T19" s="210">
        <f t="shared" si="2"/>
        <v>-3870</v>
      </c>
      <c r="U19" s="210">
        <f t="shared" si="2"/>
        <v>-8070</v>
      </c>
      <c r="V19" s="210">
        <f t="shared" si="2"/>
        <v>-3385</v>
      </c>
      <c r="W19" s="210">
        <f t="shared" si="2"/>
        <v>-183</v>
      </c>
      <c r="X19" s="210">
        <f>SUM(X15:X18)</f>
        <v>16716</v>
      </c>
    </row>
    <row r="20" spans="1:25" ht="15.75">
      <c r="A20" s="225" t="s">
        <v>16</v>
      </c>
      <c r="B20" s="225">
        <v>-2606</v>
      </c>
      <c r="C20" s="225">
        <v>5413</v>
      </c>
      <c r="D20" s="225">
        <v>5836</v>
      </c>
      <c r="E20" s="225">
        <v>7598</v>
      </c>
      <c r="F20" s="225">
        <v>9007</v>
      </c>
      <c r="G20" s="217">
        <v>-592</v>
      </c>
      <c r="H20" s="217">
        <v>255</v>
      </c>
      <c r="I20" s="212">
        <v>-28239</v>
      </c>
      <c r="J20" s="212">
        <v>-17833</v>
      </c>
      <c r="K20" s="212">
        <v>7363</v>
      </c>
      <c r="L20" s="212">
        <v>6129</v>
      </c>
      <c r="M20" s="212">
        <v>3668</v>
      </c>
      <c r="N20" s="212">
        <v>11067</v>
      </c>
      <c r="O20" s="212">
        <v>6051</v>
      </c>
      <c r="P20" s="212">
        <v>5603</v>
      </c>
      <c r="Q20" s="212">
        <v>8679</v>
      </c>
      <c r="R20" s="212">
        <v>9950</v>
      </c>
      <c r="S20" s="212">
        <v>11304</v>
      </c>
      <c r="T20" s="212">
        <v>7186</v>
      </c>
      <c r="U20" s="212">
        <v>13458</v>
      </c>
      <c r="V20" s="212">
        <v>12700</v>
      </c>
      <c r="W20" s="212">
        <v>13343</v>
      </c>
      <c r="X20" s="212">
        <v>-3413</v>
      </c>
      <c r="Y20" s="209"/>
    </row>
    <row r="21" spans="1:25" ht="15.75">
      <c r="A21" s="225" t="s">
        <v>20</v>
      </c>
      <c r="B21" s="225">
        <v>-8025</v>
      </c>
      <c r="C21" s="225">
        <v>106</v>
      </c>
      <c r="D21" s="225">
        <v>-965</v>
      </c>
      <c r="E21" s="225">
        <v>-70</v>
      </c>
      <c r="F21" s="225">
        <v>-76</v>
      </c>
      <c r="G21" s="217">
        <v>-1338</v>
      </c>
      <c r="H21" s="217">
        <v>344</v>
      </c>
      <c r="I21" s="212">
        <v>-17432</v>
      </c>
      <c r="J21" s="212">
        <v>-4788</v>
      </c>
      <c r="K21" s="212">
        <v>3070</v>
      </c>
      <c r="L21" s="212">
        <v>0</v>
      </c>
      <c r="M21" s="212">
        <v>0</v>
      </c>
      <c r="N21" s="212">
        <v>0</v>
      </c>
      <c r="O21" s="212">
        <v>0</v>
      </c>
      <c r="P21" s="212">
        <v>0</v>
      </c>
      <c r="Q21" s="212">
        <v>0</v>
      </c>
      <c r="R21" s="212">
        <v>0</v>
      </c>
      <c r="S21" s="212">
        <v>0</v>
      </c>
      <c r="T21" s="212">
        <v>0</v>
      </c>
      <c r="U21" s="212">
        <v>0</v>
      </c>
      <c r="V21" s="212">
        <v>0</v>
      </c>
      <c r="W21" s="212">
        <v>0</v>
      </c>
      <c r="X21" s="212">
        <v>0</v>
      </c>
      <c r="Y21" s="209"/>
    </row>
    <row r="22" spans="1:25" ht="15.75">
      <c r="A22" s="225" t="s">
        <v>217</v>
      </c>
      <c r="B22" s="226">
        <f>B20-B21</f>
        <v>5419</v>
      </c>
      <c r="C22" s="226">
        <f t="shared" ref="C22:X22" si="3">C20-C21</f>
        <v>5307</v>
      </c>
      <c r="D22" s="226">
        <f t="shared" si="3"/>
        <v>6801</v>
      </c>
      <c r="E22" s="226">
        <f t="shared" si="3"/>
        <v>7668</v>
      </c>
      <c r="F22" s="226">
        <f t="shared" si="3"/>
        <v>9083</v>
      </c>
      <c r="G22" s="218">
        <f t="shared" si="3"/>
        <v>746</v>
      </c>
      <c r="H22" s="218">
        <f t="shared" si="3"/>
        <v>-89</v>
      </c>
      <c r="I22" s="210">
        <f t="shared" si="3"/>
        <v>-10807</v>
      </c>
      <c r="J22" s="210">
        <f t="shared" si="3"/>
        <v>-13045</v>
      </c>
      <c r="K22" s="210">
        <f t="shared" si="3"/>
        <v>4293</v>
      </c>
      <c r="L22" s="210">
        <f t="shared" si="3"/>
        <v>6129</v>
      </c>
      <c r="M22" s="210">
        <f t="shared" si="3"/>
        <v>3668</v>
      </c>
      <c r="N22" s="210">
        <f t="shared" si="3"/>
        <v>11067</v>
      </c>
      <c r="O22" s="210">
        <f t="shared" si="3"/>
        <v>6051</v>
      </c>
      <c r="P22" s="210">
        <f t="shared" si="3"/>
        <v>5603</v>
      </c>
      <c r="Q22" s="210">
        <f t="shared" si="3"/>
        <v>8679</v>
      </c>
      <c r="R22" s="210">
        <f t="shared" si="3"/>
        <v>9950</v>
      </c>
      <c r="S22" s="210">
        <f t="shared" si="3"/>
        <v>11304</v>
      </c>
      <c r="T22" s="210">
        <f t="shared" si="3"/>
        <v>7186</v>
      </c>
      <c r="U22" s="210">
        <f t="shared" si="3"/>
        <v>13458</v>
      </c>
      <c r="V22" s="210">
        <f t="shared" si="3"/>
        <v>12700</v>
      </c>
      <c r="W22" s="210">
        <f t="shared" si="3"/>
        <v>13343</v>
      </c>
      <c r="X22" s="210">
        <f t="shared" si="3"/>
        <v>-3413</v>
      </c>
    </row>
    <row r="23" spans="1:25" ht="15.75">
      <c r="A23" s="227" t="s">
        <v>218</v>
      </c>
      <c r="B23" s="228">
        <f>B19/B11</f>
        <v>4.958958341711462E-2</v>
      </c>
      <c r="C23" s="228">
        <f t="shared" ref="C23:X23" si="4">C19/C11</f>
        <v>-0.13895462844005679</v>
      </c>
      <c r="D23" s="228">
        <f t="shared" si="4"/>
        <v>1.4321038532866268E-2</v>
      </c>
      <c r="E23" s="228">
        <f t="shared" si="4"/>
        <v>2.4511472121222976E-2</v>
      </c>
      <c r="F23" s="228">
        <f t="shared" si="4"/>
        <v>6.9382053019466122E-2</v>
      </c>
      <c r="G23" s="220">
        <f t="shared" si="4"/>
        <v>1.3409195996833831E-2</v>
      </c>
      <c r="H23" s="220">
        <f t="shared" si="4"/>
        <v>2.37377449968201E-2</v>
      </c>
      <c r="I23" s="213">
        <f t="shared" si="4"/>
        <v>0.20124475445162754</v>
      </c>
      <c r="J23" s="213">
        <f t="shared" si="4"/>
        <v>3.3131622901892061E-3</v>
      </c>
      <c r="K23" s="213">
        <f t="shared" si="4"/>
        <v>-2.4843784965486376E-2</v>
      </c>
      <c r="L23" s="213">
        <f t="shared" si="4"/>
        <v>7.604875732151338E-2</v>
      </c>
      <c r="M23" s="213">
        <f t="shared" si="4"/>
        <v>-0.10481109712914459</v>
      </c>
      <c r="N23" s="213">
        <f t="shared" si="4"/>
        <v>2.0213635669430696E-2</v>
      </c>
      <c r="O23" s="213">
        <f t="shared" si="4"/>
        <v>-4.6114623348434997E-2</v>
      </c>
      <c r="P23" s="213">
        <f t="shared" si="4"/>
        <v>1.799031290843392E-2</v>
      </c>
      <c r="Q23" s="213">
        <f t="shared" si="4"/>
        <v>3.8823000898472598E-2</v>
      </c>
      <c r="R23" s="213">
        <f t="shared" si="4"/>
        <v>-8.1750824979764644E-2</v>
      </c>
      <c r="S23" s="213">
        <f t="shared" si="4"/>
        <v>-0.10670955304570123</v>
      </c>
      <c r="T23" s="213">
        <f t="shared" si="4"/>
        <v>-3.8337328868900206E-2</v>
      </c>
      <c r="U23" s="213">
        <f t="shared" si="4"/>
        <v>-7.8222687487277912E-2</v>
      </c>
      <c r="V23" s="213">
        <f t="shared" si="4"/>
        <v>-4.4955907352316193E-2</v>
      </c>
      <c r="W23" s="213">
        <f t="shared" si="4"/>
        <v>-2.4191949236565535E-3</v>
      </c>
      <c r="X23" s="213">
        <f t="shared" si="4"/>
        <v>0.31748684735332661</v>
      </c>
    </row>
    <row r="24" spans="1:25" ht="15.75">
      <c r="A24" s="229" t="s">
        <v>219</v>
      </c>
      <c r="B24" s="228">
        <f>B13/B11</f>
        <v>-0.24028025398016953</v>
      </c>
      <c r="C24" s="228">
        <f t="shared" ref="C24:X24" si="5">C13/C11</f>
        <v>-0.18745351274595984</v>
      </c>
      <c r="D24" s="228">
        <f t="shared" si="5"/>
        <v>-0.38665332195107593</v>
      </c>
      <c r="E24" s="228">
        <f t="shared" si="5"/>
        <v>-0.52951765148394259</v>
      </c>
      <c r="F24" s="228">
        <f t="shared" si="5"/>
        <v>-0.54625609623476468</v>
      </c>
      <c r="G24" s="220">
        <f t="shared" si="5"/>
        <v>-0.51202595631627212</v>
      </c>
      <c r="H24" s="220">
        <f t="shared" si="5"/>
        <v>-0.46043296193205752</v>
      </c>
      <c r="I24" s="213">
        <f t="shared" si="5"/>
        <v>-0.31883010094136327</v>
      </c>
      <c r="J24" s="213">
        <f t="shared" si="5"/>
        <v>-5.8683132079260333E-2</v>
      </c>
      <c r="K24" s="213">
        <f t="shared" si="5"/>
        <v>6.4964797824178466E-2</v>
      </c>
      <c r="L24" s="213">
        <f t="shared" si="5"/>
        <v>8.43280037992718E-2</v>
      </c>
      <c r="M24" s="213">
        <f t="shared" si="5"/>
        <v>8.1692078077902311E-2</v>
      </c>
      <c r="N24" s="213">
        <f t="shared" si="5"/>
        <v>0.11260342643584192</v>
      </c>
      <c r="O24" s="213">
        <f t="shared" si="5"/>
        <v>7.3056450362612185E-2</v>
      </c>
      <c r="P24" s="213">
        <f t="shared" si="5"/>
        <v>9.6332743907126928E-2</v>
      </c>
      <c r="Q24" s="213">
        <f t="shared" si="5"/>
        <v>7.9469901168014376E-2</v>
      </c>
      <c r="R24" s="213">
        <f t="shared" si="5"/>
        <v>0.10268885587981534</v>
      </c>
      <c r="S24" s="213">
        <f t="shared" si="5"/>
        <v>0.14110596567692726</v>
      </c>
      <c r="T24" s="213">
        <f t="shared" si="5"/>
        <v>0.23390723753293841</v>
      </c>
      <c r="U24" s="213">
        <f t="shared" si="5"/>
        <v>0.20249692246551707</v>
      </c>
      <c r="V24" s="213">
        <f t="shared" si="5"/>
        <v>0.1744448576285593</v>
      </c>
      <c r="W24" s="213">
        <f t="shared" si="5"/>
        <v>7.130676184810629E-2</v>
      </c>
      <c r="X24" s="213">
        <f t="shared" si="5"/>
        <v>-8.125201800535603E-2</v>
      </c>
    </row>
    <row r="25" spans="1:25" ht="15.75">
      <c r="A25" s="227" t="s">
        <v>220</v>
      </c>
      <c r="B25" s="228">
        <f>B22/B11</f>
        <v>2.4213908139966132E-2</v>
      </c>
      <c r="C25" s="228">
        <f t="shared" ref="C25:X25" si="6">C22/C11</f>
        <v>2.242798701737778E-2</v>
      </c>
      <c r="D25" s="228">
        <f t="shared" si="6"/>
        <v>5.0050042683465308E-2</v>
      </c>
      <c r="E25" s="228">
        <f t="shared" si="6"/>
        <v>6.8671526571259689E-2</v>
      </c>
      <c r="F25" s="228">
        <f t="shared" si="6"/>
        <v>7.598229896018939E-2</v>
      </c>
      <c r="G25" s="220">
        <f t="shared" si="6"/>
        <v>5.8464408028276087E-3</v>
      </c>
      <c r="H25" s="220">
        <f t="shared" si="6"/>
        <v>-7.3509370379853478E-4</v>
      </c>
      <c r="I25" s="213">
        <f t="shared" si="6"/>
        <v>-7.6606271974594534E-2</v>
      </c>
      <c r="J25" s="213">
        <f t="shared" si="6"/>
        <v>-5.9531958781705502E-2</v>
      </c>
      <c r="K25" s="213">
        <f t="shared" si="6"/>
        <v>1.8474687139586526E-2</v>
      </c>
      <c r="L25" s="213">
        <f t="shared" si="6"/>
        <v>4.8511951875890455E-2</v>
      </c>
      <c r="M25" s="213">
        <f t="shared" si="6"/>
        <v>2.683562084808756E-2</v>
      </c>
      <c r="N25" s="213">
        <f t="shared" si="6"/>
        <v>9.9424135979373107E-2</v>
      </c>
      <c r="O25" s="213">
        <f t="shared" si="6"/>
        <v>5.2117965237463607E-2</v>
      </c>
      <c r="P25" s="213">
        <f t="shared" si="6"/>
        <v>5.3846005996770967E-2</v>
      </c>
      <c r="Q25" s="213">
        <f t="shared" si="6"/>
        <v>7.7978436657681935E-2</v>
      </c>
      <c r="R25" s="213">
        <f t="shared" si="6"/>
        <v>8.8501872326042674E-2</v>
      </c>
      <c r="S25" s="213">
        <f t="shared" si="6"/>
        <v>0.1184334597573497</v>
      </c>
      <c r="T25" s="213">
        <f t="shared" si="6"/>
        <v>7.1186575000495314E-2</v>
      </c>
      <c r="U25" s="213">
        <f t="shared" si="6"/>
        <v>0.13044868998807757</v>
      </c>
      <c r="V25" s="213">
        <f t="shared" si="6"/>
        <v>0.16866765830854227</v>
      </c>
      <c r="W25" s="213">
        <f t="shared" si="6"/>
        <v>0.17638971511666335</v>
      </c>
      <c r="X25" s="213">
        <f t="shared" si="6"/>
        <v>-6.4823080283375439E-2</v>
      </c>
    </row>
    <row r="26" spans="1:25" ht="15.75">
      <c r="A26" s="229" t="s">
        <v>221</v>
      </c>
      <c r="B26" s="228">
        <f>B14/B12</f>
        <v>0.51200627711382452</v>
      </c>
      <c r="C26" s="228">
        <f t="shared" ref="C26:X26" si="7">C14/C12</f>
        <v>0.44426826329075386</v>
      </c>
      <c r="D26" s="228">
        <f t="shared" si="7"/>
        <v>0.22134552603253957</v>
      </c>
      <c r="E26" s="228">
        <f t="shared" si="7"/>
        <v>9.9696169746476063E-2</v>
      </c>
      <c r="F26" s="228">
        <f t="shared" si="7"/>
        <v>0.13209794726819735</v>
      </c>
      <c r="G26" s="220">
        <f t="shared" si="7"/>
        <v>0.18752140211063723</v>
      </c>
      <c r="H26" s="220">
        <f t="shared" si="7"/>
        <v>0.1158915888439188</v>
      </c>
      <c r="I26" s="213">
        <f t="shared" si="7"/>
        <v>0.11169090056285179</v>
      </c>
      <c r="J26" s="213">
        <f t="shared" si="7"/>
        <v>4.9825823006300243E-2</v>
      </c>
      <c r="K26" s="213">
        <f t="shared" si="7"/>
        <v>0.21153757118385111</v>
      </c>
      <c r="L26" s="213">
        <f t="shared" si="7"/>
        <v>0.34097825709624041</v>
      </c>
      <c r="M26" s="213">
        <f t="shared" si="7"/>
        <v>0.43721558441558439</v>
      </c>
      <c r="N26" s="213">
        <f t="shared" si="7"/>
        <v>0.44781395348837211</v>
      </c>
      <c r="O26" s="213">
        <f t="shared" si="7"/>
        <v>0.37913212697128995</v>
      </c>
      <c r="P26" s="213">
        <f t="shared" si="7"/>
        <v>0.26658253919904851</v>
      </c>
      <c r="Q26" s="213">
        <f t="shared" si="7"/>
        <v>0.47701562097790301</v>
      </c>
      <c r="R26" s="213">
        <f t="shared" si="7"/>
        <v>1.0438307264701074</v>
      </c>
      <c r="S26" s="213">
        <f t="shared" si="7"/>
        <v>1.1009945657746334</v>
      </c>
      <c r="T26" s="213">
        <f t="shared" si="7"/>
        <v>0.57814717210622335</v>
      </c>
      <c r="U26" s="213">
        <f t="shared" si="7"/>
        <v>0.89201513206782412</v>
      </c>
      <c r="V26" s="213">
        <f t="shared" si="7"/>
        <v>0.77044814730274669</v>
      </c>
      <c r="W26" s="213">
        <f t="shared" si="7"/>
        <v>0.37497347086039307</v>
      </c>
      <c r="X26" s="213">
        <f t="shared" si="7"/>
        <v>0.3232796486090776</v>
      </c>
    </row>
    <row r="27" spans="1:25" ht="15.75">
      <c r="A27" s="229" t="s">
        <v>222</v>
      </c>
      <c r="B27" s="228">
        <f>B10/B11</f>
        <v>0.87659798835551861</v>
      </c>
      <c r="C27" s="228">
        <f t="shared" ref="C27:X27" si="8">C10/C11</f>
        <v>0.69375464872540404</v>
      </c>
      <c r="D27" s="228">
        <f t="shared" si="8"/>
        <v>1.0050778605280974</v>
      </c>
      <c r="E27" s="228">
        <f t="shared" si="8"/>
        <v>1.1685443570776093</v>
      </c>
      <c r="F27" s="228">
        <f t="shared" si="8"/>
        <v>1.1382036288804678</v>
      </c>
      <c r="G27" s="220">
        <f t="shared" si="8"/>
        <v>0.93770327353662641</v>
      </c>
      <c r="H27" s="220">
        <f t="shared" si="8"/>
        <v>0.90262073294623901</v>
      </c>
      <c r="I27" s="213">
        <f t="shared" si="8"/>
        <v>0.99209623454689799</v>
      </c>
      <c r="J27" s="213">
        <f t="shared" si="8"/>
        <v>0.94002080994496318</v>
      </c>
      <c r="K27" s="213">
        <f t="shared" si="8"/>
        <v>0.7782521129912382</v>
      </c>
      <c r="L27" s="213">
        <f t="shared" si="8"/>
        <v>0.79643026753205637</v>
      </c>
      <c r="M27" s="213">
        <f t="shared" si="8"/>
        <v>0.65443651049135232</v>
      </c>
      <c r="N27" s="213">
        <f t="shared" si="8"/>
        <v>0.74423012999613691</v>
      </c>
      <c r="O27" s="213">
        <f t="shared" si="8"/>
        <v>0.69833422335532547</v>
      </c>
      <c r="P27" s="213">
        <f t="shared" si="8"/>
        <v>0.71733489659414162</v>
      </c>
      <c r="Q27" s="213">
        <f t="shared" si="8"/>
        <v>0.79433063791554359</v>
      </c>
      <c r="R27" s="213">
        <f t="shared" si="8"/>
        <v>0.79608101256815533</v>
      </c>
      <c r="S27" s="213">
        <f t="shared" si="8"/>
        <v>0.90884898267082959</v>
      </c>
      <c r="T27" s="213">
        <f t="shared" si="8"/>
        <v>0.71804727279931846</v>
      </c>
      <c r="U27" s="213">
        <f t="shared" si="8"/>
        <v>0.89698256225343376</v>
      </c>
      <c r="V27" s="213">
        <f t="shared" si="8"/>
        <v>1.1972747556311092</v>
      </c>
      <c r="W27" s="213">
        <f t="shared" si="8"/>
        <v>1.0561438297309802</v>
      </c>
      <c r="X27" s="213">
        <f t="shared" si="8"/>
        <v>1.2601659987464626</v>
      </c>
    </row>
    <row r="28" spans="1:25" ht="15.75">
      <c r="A28" s="230" t="s">
        <v>213</v>
      </c>
      <c r="B28" s="231">
        <f>B23*1.2+B24*1.4+B25*3.3+B26*0.6+B27*5</f>
        <v>4.4932147494360759</v>
      </c>
      <c r="C28" s="231">
        <f t="shared" ref="C28:X28" si="9">C23*1.2+C24*1.4+C25*3.3+C26*0.6+C27*5</f>
        <v>3.3801660867864074</v>
      </c>
      <c r="D28" s="231">
        <f t="shared" si="9"/>
        <v>4.7992323546233795</v>
      </c>
      <c r="E28" s="231">
        <f t="shared" si="9"/>
        <v>5.4172445793890365</v>
      </c>
      <c r="F28" s="231">
        <f t="shared" si="9"/>
        <v>5.3395184282265706</v>
      </c>
      <c r="G28" s="219">
        <f t="shared" si="9"/>
        <v>4.1195771599522644</v>
      </c>
      <c r="H28" s="219">
        <f t="shared" si="9"/>
        <v>3.9640919561063153</v>
      </c>
      <c r="I28" s="213">
        <f t="shared" si="9"/>
        <v>4.5698265795800834</v>
      </c>
      <c r="J28" s="213">
        <f t="shared" si="9"/>
        <v>4.4553634893862304</v>
      </c>
      <c r="K28" s="213">
        <f t="shared" si="9"/>
        <v>4.1402877502224031</v>
      </c>
      <c r="L28" s="213">
        <f t="shared" si="9"/>
        <v>4.556145447213261</v>
      </c>
      <c r="M28" s="213">
        <f t="shared" si="9"/>
        <v>3.6116650446588912</v>
      </c>
      <c r="N28" s="213">
        <f t="shared" si="9"/>
        <v>4.499839830619135</v>
      </c>
      <c r="O28" s="213">
        <f t="shared" si="9"/>
        <v>3.9380811607325663</v>
      </c>
      <c r="P28" s="213">
        <f t="shared" si="9"/>
        <v>4.0807700432395801</v>
      </c>
      <c r="Q28" s="213">
        <f t="shared" si="9"/>
        <v>4.6730368658481973</v>
      </c>
      <c r="R28" s="213">
        <f t="shared" si="9"/>
        <v>4.9444230856548064</v>
      </c>
      <c r="S28" s="213">
        <f t="shared" si="9"/>
        <v>5.6651689583110389</v>
      </c>
      <c r="T28" s="213">
        <f t="shared" si="9"/>
        <v>4.4535057026653941</v>
      </c>
      <c r="U28" s="213">
        <f t="shared" si="9"/>
        <v>5.6402310339355095</v>
      </c>
      <c r="V28" s="213">
        <f t="shared" si="9"/>
        <v>7.1955216508125872</v>
      </c>
      <c r="W28" s="213">
        <f t="shared" si="9"/>
        <v>6.1847157237350867</v>
      </c>
      <c r="X28" s="213">
        <f t="shared" si="9"/>
        <v>6.5481130095791134</v>
      </c>
    </row>
  </sheetData>
  <pageMargins left="0.7" right="0.7" top="0.75" bottom="0.75" header="0.3" footer="0.3"/>
  <ignoredErrors>
    <ignoredError sqref="B19:XFD19" formulaRange="1"/>
    <ignoredError sqref="C9:R9 S9:X9" unlocked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EFE2-1864-4E2E-ACBA-A49C10AB04DB}">
  <dimension ref="A1:L28"/>
  <sheetViews>
    <sheetView rightToLeft="1" zoomScale="88" workbookViewId="0"/>
  </sheetViews>
  <sheetFormatPr defaultColWidth="26.5" defaultRowHeight="15.75"/>
  <cols>
    <col min="1" max="1" width="7.875" style="241" customWidth="1"/>
    <col min="2" max="2" width="27.125" style="244" bestFit="1" customWidth="1"/>
    <col min="3" max="6" width="8" style="241" bestFit="1" customWidth="1"/>
    <col min="7" max="7" width="8.125" style="241" bestFit="1" customWidth="1"/>
    <col min="8" max="8" width="8" style="241" bestFit="1" customWidth="1"/>
    <col min="9" max="9" width="8" style="241" customWidth="1"/>
    <col min="10" max="10" width="10.75" style="250" bestFit="1" customWidth="1"/>
    <col min="11" max="16384" width="26.5" style="241"/>
  </cols>
  <sheetData>
    <row r="1" spans="1:10">
      <c r="A1" s="270" t="s">
        <v>253</v>
      </c>
      <c r="B1" s="270" t="s">
        <v>252</v>
      </c>
      <c r="C1" s="222">
        <v>2016</v>
      </c>
      <c r="D1" s="222">
        <v>2015</v>
      </c>
      <c r="E1" s="222">
        <v>2014</v>
      </c>
      <c r="F1" s="222">
        <v>2013</v>
      </c>
      <c r="G1" s="222">
        <v>2012</v>
      </c>
      <c r="H1" s="222">
        <v>2011</v>
      </c>
      <c r="I1" s="222">
        <v>2010</v>
      </c>
      <c r="J1" s="252" t="s">
        <v>247</v>
      </c>
    </row>
    <row r="2" spans="1:10">
      <c r="A2" s="468" t="s">
        <v>250</v>
      </c>
      <c r="B2" s="271" t="s">
        <v>248</v>
      </c>
      <c r="C2" s="248">
        <v>76050</v>
      </c>
      <c r="D2" s="248">
        <v>90439</v>
      </c>
      <c r="E2" s="248">
        <v>92862</v>
      </c>
      <c r="F2" s="248">
        <v>90735</v>
      </c>
      <c r="G2" s="248">
        <v>102939</v>
      </c>
      <c r="H2" s="248">
        <v>87701</v>
      </c>
      <c r="I2" s="248">
        <v>77124</v>
      </c>
      <c r="J2" s="249">
        <v>-1.9893751805997021E-3</v>
      </c>
    </row>
    <row r="3" spans="1:10">
      <c r="A3" s="468"/>
      <c r="B3" s="271" t="s">
        <v>236</v>
      </c>
      <c r="C3" s="248">
        <v>37244</v>
      </c>
      <c r="D3" s="248">
        <v>29751</v>
      </c>
      <c r="E3" s="248">
        <v>23544</v>
      </c>
      <c r="F3" s="248">
        <v>26271</v>
      </c>
      <c r="G3" s="248">
        <v>21560</v>
      </c>
      <c r="H3" s="248">
        <v>21304</v>
      </c>
      <c r="I3" s="248">
        <v>21869</v>
      </c>
      <c r="J3" s="249">
        <v>0.10043571134613249</v>
      </c>
    </row>
    <row r="4" spans="1:10">
      <c r="A4" s="468"/>
      <c r="B4" s="271" t="s">
        <v>237</v>
      </c>
      <c r="C4" s="248">
        <v>9410</v>
      </c>
      <c r="D4" s="248">
        <v>12350</v>
      </c>
      <c r="E4" s="248">
        <v>14384</v>
      </c>
      <c r="F4" s="248">
        <v>13475</v>
      </c>
      <c r="G4" s="248">
        <v>11562</v>
      </c>
      <c r="H4" s="248">
        <v>10645</v>
      </c>
      <c r="I4" s="248">
        <v>10290</v>
      </c>
      <c r="J4" s="249">
        <v>-1.2217131750659447E-2</v>
      </c>
    </row>
    <row r="5" spans="1:10">
      <c r="A5" s="468"/>
      <c r="B5" s="271" t="s">
        <v>238</v>
      </c>
      <c r="C5" s="248">
        <v>73476</v>
      </c>
      <c r="D5" s="248">
        <v>31618</v>
      </c>
      <c r="E5" s="248">
        <v>5784</v>
      </c>
      <c r="F5" s="248">
        <v>0</v>
      </c>
      <c r="G5" s="248">
        <v>0</v>
      </c>
      <c r="H5" s="248">
        <v>0</v>
      </c>
      <c r="I5" s="248">
        <v>0</v>
      </c>
      <c r="J5" s="249">
        <v>3.9011065006915628</v>
      </c>
    </row>
    <row r="6" spans="1:10">
      <c r="A6" s="468"/>
      <c r="B6" s="258" t="s">
        <v>250</v>
      </c>
      <c r="C6" s="251">
        <v>196180</v>
      </c>
      <c r="D6" s="251">
        <v>164158</v>
      </c>
      <c r="E6" s="251">
        <v>136574</v>
      </c>
      <c r="F6" s="251">
        <v>130481</v>
      </c>
      <c r="G6" s="251">
        <v>136061</v>
      </c>
      <c r="H6" s="251">
        <v>119650</v>
      </c>
      <c r="I6" s="251">
        <v>109283</v>
      </c>
      <c r="J6" s="253">
        <v>0.11359367095391912</v>
      </c>
    </row>
    <row r="7" spans="1:10">
      <c r="A7" s="468"/>
      <c r="B7" s="258" t="s">
        <v>388</v>
      </c>
      <c r="C7" s="371">
        <f>C6-C5</f>
        <v>122704</v>
      </c>
      <c r="D7" s="371">
        <f t="shared" ref="D7:I7" si="0">D6-D5</f>
        <v>132540</v>
      </c>
      <c r="E7" s="371">
        <f t="shared" si="0"/>
        <v>130790</v>
      </c>
      <c r="F7" s="371">
        <f t="shared" si="0"/>
        <v>130481</v>
      </c>
      <c r="G7" s="371">
        <f t="shared" si="0"/>
        <v>136061</v>
      </c>
      <c r="H7" s="371">
        <f t="shared" si="0"/>
        <v>119650</v>
      </c>
      <c r="I7" s="371">
        <f t="shared" si="0"/>
        <v>109283</v>
      </c>
      <c r="J7" s="372">
        <f>(C7/I7-1)/7</f>
        <v>1.7544226588634242E-2</v>
      </c>
    </row>
    <row r="8" spans="1:10">
      <c r="A8" s="268"/>
      <c r="B8" s="258"/>
      <c r="C8" s="280">
        <v>0.19506816603516119</v>
      </c>
      <c r="D8" s="280">
        <v>0.20197109259449086</v>
      </c>
      <c r="E8" s="280">
        <v>4.6696453889838452E-2</v>
      </c>
      <c r="F8" s="280">
        <v>-4.1011017117322357E-2</v>
      </c>
      <c r="G8" s="280">
        <v>0.1371583786042625</v>
      </c>
      <c r="H8" s="280">
        <v>9.486379400272682E-2</v>
      </c>
      <c r="I8" s="251"/>
      <c r="J8" s="253"/>
    </row>
    <row r="9" spans="1:10">
      <c r="A9" s="468" t="s">
        <v>249</v>
      </c>
      <c r="B9" s="271" t="s">
        <v>248</v>
      </c>
      <c r="C9" s="248">
        <v>557</v>
      </c>
      <c r="D9" s="248">
        <v>1357</v>
      </c>
      <c r="E9" s="248">
        <v>4072</v>
      </c>
      <c r="F9" s="248">
        <v>5593</v>
      </c>
      <c r="G9" s="248">
        <v>8340</v>
      </c>
      <c r="H9" s="248">
        <v>3891</v>
      </c>
      <c r="I9" s="248">
        <v>2310</v>
      </c>
      <c r="J9" s="249">
        <v>-0.10841063698206556</v>
      </c>
    </row>
    <row r="10" spans="1:10">
      <c r="A10" s="468"/>
      <c r="B10" s="271" t="s">
        <v>236</v>
      </c>
      <c r="C10" s="248">
        <v>4743</v>
      </c>
      <c r="D10" s="248">
        <v>2306</v>
      </c>
      <c r="E10" s="248">
        <v>2122</v>
      </c>
      <c r="F10" s="248">
        <v>1741</v>
      </c>
      <c r="G10" s="248">
        <v>927</v>
      </c>
      <c r="H10" s="248">
        <v>-2439</v>
      </c>
      <c r="I10" s="248">
        <v>-1334</v>
      </c>
      <c r="J10" s="249">
        <v>0.65078175198115229</v>
      </c>
    </row>
    <row r="11" spans="1:10">
      <c r="A11" s="468"/>
      <c r="B11" s="271" t="s">
        <v>237</v>
      </c>
      <c r="C11" s="248">
        <v>-1349</v>
      </c>
      <c r="D11" s="248">
        <v>-958</v>
      </c>
      <c r="E11" s="248">
        <v>245</v>
      </c>
      <c r="F11" s="248">
        <v>334</v>
      </c>
      <c r="G11" s="248">
        <v>-184</v>
      </c>
      <c r="H11" s="248">
        <v>-635</v>
      </c>
      <c r="I11" s="248">
        <v>-464</v>
      </c>
      <c r="J11" s="249">
        <v>0.27247536945812806</v>
      </c>
    </row>
    <row r="12" spans="1:10">
      <c r="A12" s="468"/>
      <c r="B12" s="271" t="s">
        <v>238</v>
      </c>
      <c r="C12" s="248">
        <v>1468</v>
      </c>
      <c r="D12" s="248">
        <v>2602</v>
      </c>
      <c r="E12" s="248">
        <v>362</v>
      </c>
      <c r="F12" s="248">
        <v>0</v>
      </c>
      <c r="G12" s="248">
        <v>0</v>
      </c>
      <c r="H12" s="248">
        <v>0</v>
      </c>
      <c r="I12" s="248">
        <v>0</v>
      </c>
      <c r="J12" s="249">
        <v>1.0184162062615101</v>
      </c>
    </row>
    <row r="13" spans="1:10">
      <c r="A13" s="468"/>
      <c r="B13" s="268" t="s">
        <v>255</v>
      </c>
      <c r="C13" s="248">
        <v>5419</v>
      </c>
      <c r="D13" s="248">
        <v>5307</v>
      </c>
      <c r="E13" s="248">
        <v>6801</v>
      </c>
      <c r="F13" s="248">
        <v>7668</v>
      </c>
      <c r="G13" s="248">
        <v>9083</v>
      </c>
      <c r="H13" s="248">
        <v>817</v>
      </c>
      <c r="I13" s="248">
        <v>512</v>
      </c>
      <c r="J13" s="253">
        <v>1.369140625</v>
      </c>
    </row>
    <row r="14" spans="1:10">
      <c r="A14" s="468" t="s">
        <v>254</v>
      </c>
      <c r="B14" s="271" t="s">
        <v>232</v>
      </c>
      <c r="C14" s="247">
        <v>130101</v>
      </c>
      <c r="D14" s="247">
        <v>143698</v>
      </c>
      <c r="E14" s="247">
        <v>175007</v>
      </c>
      <c r="F14" s="247">
        <v>142741</v>
      </c>
      <c r="G14" s="247">
        <v>222110</v>
      </c>
      <c r="H14" s="247">
        <v>213997</v>
      </c>
      <c r="I14" s="247">
        <v>188110</v>
      </c>
      <c r="J14" s="249">
        <v>-4.4054010951039287E-2</v>
      </c>
    </row>
    <row r="15" spans="1:10">
      <c r="A15" s="468"/>
      <c r="B15" s="271" t="s">
        <v>233</v>
      </c>
      <c r="C15" s="247">
        <v>30009</v>
      </c>
      <c r="D15" s="247">
        <v>32726</v>
      </c>
      <c r="E15" s="247">
        <v>31233</v>
      </c>
      <c r="F15" s="247">
        <v>36655</v>
      </c>
      <c r="G15" s="247">
        <v>36945</v>
      </c>
      <c r="H15" s="247">
        <v>34506</v>
      </c>
      <c r="I15" s="247">
        <v>32548</v>
      </c>
      <c r="J15" s="249">
        <v>-1.1143980758089153E-2</v>
      </c>
    </row>
    <row r="16" spans="1:10">
      <c r="A16" s="468"/>
      <c r="B16" s="271" t="s">
        <v>234</v>
      </c>
      <c r="C16" s="247">
        <v>189275</v>
      </c>
      <c r="D16" s="247">
        <v>170370</v>
      </c>
      <c r="E16" s="247">
        <v>155340</v>
      </c>
      <c r="F16" s="247">
        <v>161767</v>
      </c>
      <c r="G16" s="247">
        <v>176900</v>
      </c>
      <c r="H16" s="247">
        <v>112012</v>
      </c>
      <c r="I16" s="247">
        <v>0</v>
      </c>
      <c r="J16" s="249">
        <v>0.11496238498256139</v>
      </c>
    </row>
    <row r="17" spans="1:12">
      <c r="A17" s="468"/>
      <c r="B17" s="271" t="s">
        <v>239</v>
      </c>
      <c r="C17" s="247">
        <v>349385</v>
      </c>
      <c r="D17" s="247">
        <v>346794</v>
      </c>
      <c r="E17" s="247">
        <v>361580</v>
      </c>
      <c r="F17" s="247">
        <v>341163</v>
      </c>
      <c r="G17" s="247">
        <v>435955</v>
      </c>
      <c r="H17" s="247">
        <v>360515</v>
      </c>
      <c r="I17" s="247">
        <v>220658</v>
      </c>
      <c r="J17" s="253">
        <v>8.3339699573871912E-2</v>
      </c>
    </row>
    <row r="18" spans="1:12">
      <c r="A18" s="268"/>
      <c r="B18" s="271"/>
      <c r="C18" s="280">
        <v>7.4712941977082004E-3</v>
      </c>
      <c r="D18" s="280">
        <v>-4.0892748492726394E-2</v>
      </c>
      <c r="E18" s="280">
        <v>5.9845293891776175E-2</v>
      </c>
      <c r="F18" s="280">
        <v>-0.2174352857519698</v>
      </c>
      <c r="G18" s="280">
        <v>0.20925620293191693</v>
      </c>
      <c r="H18" s="280">
        <v>0.63381794451141582</v>
      </c>
      <c r="I18" s="247"/>
      <c r="J18" s="253"/>
    </row>
    <row r="19" spans="1:12">
      <c r="A19" s="468" t="s">
        <v>242</v>
      </c>
      <c r="B19" s="271" t="s">
        <v>232</v>
      </c>
      <c r="C19" s="247">
        <v>9375</v>
      </c>
      <c r="D19" s="247">
        <v>6573</v>
      </c>
      <c r="E19" s="247">
        <v>14342</v>
      </c>
      <c r="F19" s="247">
        <v>-39961</v>
      </c>
      <c r="G19" s="247">
        <v>25643</v>
      </c>
      <c r="H19" s="247">
        <v>9017</v>
      </c>
      <c r="I19" s="247">
        <v>12029</v>
      </c>
      <c r="J19" s="249">
        <v>-3.151906701661461E-2</v>
      </c>
    </row>
    <row r="20" spans="1:12">
      <c r="A20" s="468"/>
      <c r="B20" s="271" t="s">
        <v>233</v>
      </c>
      <c r="C20" s="247">
        <v>7731</v>
      </c>
      <c r="D20" s="247">
        <v>1005</v>
      </c>
      <c r="E20" s="247">
        <v>2534</v>
      </c>
      <c r="F20" s="247">
        <v>2892</v>
      </c>
      <c r="G20" s="247">
        <v>12721</v>
      </c>
      <c r="H20" s="247">
        <v>2263</v>
      </c>
      <c r="I20" s="247">
        <v>1089</v>
      </c>
      <c r="J20" s="249">
        <v>0.87131050767414397</v>
      </c>
      <c r="L20" s="241">
        <v>24.6</v>
      </c>
    </row>
    <row r="21" spans="1:12">
      <c r="A21" s="468"/>
      <c r="B21" s="271" t="s">
        <v>234</v>
      </c>
      <c r="C21" s="247">
        <v>7979</v>
      </c>
      <c r="D21" s="247">
        <v>5087</v>
      </c>
      <c r="E21" s="247">
        <v>7860</v>
      </c>
      <c r="F21" s="247">
        <v>13227</v>
      </c>
      <c r="G21" s="247">
        <v>11589</v>
      </c>
      <c r="H21" s="247">
        <v>1926</v>
      </c>
      <c r="I21" s="247" t="s">
        <v>209</v>
      </c>
      <c r="J21" s="249">
        <v>0.52379716164762891</v>
      </c>
      <c r="L21" s="241">
        <v>25.4</v>
      </c>
    </row>
    <row r="22" spans="1:12">
      <c r="A22" s="468"/>
      <c r="B22" s="271" t="s">
        <v>239</v>
      </c>
      <c r="C22" s="247">
        <v>25085</v>
      </c>
      <c r="D22" s="247">
        <v>12665</v>
      </c>
      <c r="E22" s="247">
        <v>24736</v>
      </c>
      <c r="F22" s="247">
        <v>-23842</v>
      </c>
      <c r="G22" s="247">
        <v>49953</v>
      </c>
      <c r="H22" s="247">
        <v>13206</v>
      </c>
      <c r="I22" s="247">
        <v>13118</v>
      </c>
      <c r="J22" s="253">
        <v>0.13032256659333957</v>
      </c>
      <c r="L22" s="241">
        <v>0.79999999999999716</v>
      </c>
    </row>
    <row r="23" spans="1:12">
      <c r="A23" s="470" t="s">
        <v>243</v>
      </c>
      <c r="B23" s="470"/>
      <c r="C23" s="254">
        <v>545565</v>
      </c>
      <c r="D23" s="254">
        <v>510952</v>
      </c>
      <c r="E23" s="254">
        <v>498154</v>
      </c>
      <c r="F23" s="254">
        <v>471644</v>
      </c>
      <c r="G23" s="254">
        <v>572016</v>
      </c>
      <c r="H23" s="254">
        <v>480165</v>
      </c>
      <c r="I23" s="254">
        <v>329941</v>
      </c>
      <c r="J23" s="253">
        <v>9.3360414654221735E-2</v>
      </c>
      <c r="L23" s="245">
        <v>3.1496062992125873E-2</v>
      </c>
    </row>
    <row r="24" spans="1:12" ht="31.5">
      <c r="A24" s="470" t="s">
        <v>244</v>
      </c>
      <c r="B24" s="470"/>
      <c r="C24" s="255">
        <v>6.7742175390251916E-2</v>
      </c>
      <c r="D24" s="255">
        <v>2.5690850620490851E-2</v>
      </c>
      <c r="E24" s="255">
        <v>5.6207648141394784E-2</v>
      </c>
      <c r="F24" s="255">
        <v>-0.17547061620653967</v>
      </c>
      <c r="G24" s="255">
        <v>0.19129049389272437</v>
      </c>
      <c r="H24" s="255">
        <v>0.45530564555481129</v>
      </c>
      <c r="I24" s="370" t="s">
        <v>251</v>
      </c>
      <c r="J24" s="253">
        <v>0.1034610328988556</v>
      </c>
    </row>
    <row r="25" spans="1:12">
      <c r="A25" s="469" t="s">
        <v>245</v>
      </c>
      <c r="B25" s="469"/>
      <c r="C25" s="256">
        <v>0.35959051625379196</v>
      </c>
      <c r="D25" s="256">
        <v>0.321278711111807</v>
      </c>
      <c r="E25" s="256">
        <v>0.27416019945639303</v>
      </c>
      <c r="F25" s="256">
        <v>0.27665145745519926</v>
      </c>
      <c r="G25" s="256">
        <v>0.23786222762999637</v>
      </c>
      <c r="H25" s="256">
        <v>0.24918517592910772</v>
      </c>
      <c r="I25" s="256">
        <v>0.33121982415037843</v>
      </c>
      <c r="J25" s="253">
        <v>1.2236453615570011E-2</v>
      </c>
    </row>
    <row r="26" spans="1:12">
      <c r="A26" s="469" t="s">
        <v>256</v>
      </c>
      <c r="B26" s="469"/>
      <c r="C26" s="249">
        <v>5.5912677682769238E-2</v>
      </c>
      <c r="D26" s="249">
        <v>3.5173558377303543E-2</v>
      </c>
      <c r="E26" s="249">
        <v>6.3307732147087042E-2</v>
      </c>
      <c r="F26" s="249">
        <v>-3.4292814071630297E-2</v>
      </c>
      <c r="G26" s="249">
        <v>0.1032069033034041</v>
      </c>
      <c r="H26" s="249">
        <v>2.9204544271240095E-2</v>
      </c>
      <c r="I26" s="249">
        <v>4.1310416104697503E-2</v>
      </c>
      <c r="J26" s="249">
        <v>4.1974716830695889E-2</v>
      </c>
    </row>
    <row r="27" spans="1:12">
      <c r="A27" s="469" t="s">
        <v>257</v>
      </c>
      <c r="B27" s="469"/>
      <c r="C27" s="246">
        <v>2.7622591497604241E-2</v>
      </c>
      <c r="D27" s="246">
        <v>3.2328610241352841E-2</v>
      </c>
      <c r="E27" s="246">
        <v>4.9797179551012635E-2</v>
      </c>
      <c r="F27" s="246">
        <v>5.8767176830343118E-2</v>
      </c>
      <c r="G27" s="246">
        <v>6.675682230764142E-2</v>
      </c>
      <c r="H27" s="246">
        <v>6.8282490597576266E-3</v>
      </c>
      <c r="I27" s="246">
        <v>4.6850836818169341E-3</v>
      </c>
      <c r="J27" s="249">
        <v>3.5255101881361259E-2</v>
      </c>
    </row>
    <row r="28" spans="1:12">
      <c r="A28" s="469" t="s">
        <v>258</v>
      </c>
      <c r="B28" s="469"/>
      <c r="C28" s="246">
        <v>7.1797587188917669E-2</v>
      </c>
      <c r="D28" s="246">
        <v>3.6520239681194021E-2</v>
      </c>
      <c r="E28" s="246">
        <v>6.841086343271198E-2</v>
      </c>
      <c r="F28" s="246">
        <v>-6.9884483370119266E-2</v>
      </c>
      <c r="G28" s="246">
        <v>0.11458292713697514</v>
      </c>
      <c r="H28" s="246">
        <v>3.6630930751841116E-2</v>
      </c>
      <c r="I28" s="246">
        <v>5.9449464782604752E-2</v>
      </c>
      <c r="J28" s="249">
        <v>4.5358218514875058E-2</v>
      </c>
    </row>
  </sheetData>
  <mergeCells count="10">
    <mergeCell ref="A2:A7"/>
    <mergeCell ref="A9:A13"/>
    <mergeCell ref="A26:B26"/>
    <mergeCell ref="A27:B27"/>
    <mergeCell ref="A28:B28"/>
    <mergeCell ref="A14:A17"/>
    <mergeCell ref="A19:A22"/>
    <mergeCell ref="A23:B23"/>
    <mergeCell ref="A24:B24"/>
    <mergeCell ref="A25:B25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F866-D364-4192-8C4F-DBD3777BC04C}">
  <dimension ref="A1:G22"/>
  <sheetViews>
    <sheetView rightToLeft="1" workbookViewId="0">
      <selection activeCell="B19" sqref="B1:B19"/>
    </sheetView>
  </sheetViews>
  <sheetFormatPr defaultRowHeight="14.25"/>
  <cols>
    <col min="1" max="1" width="9.375" bestFit="1" customWidth="1"/>
    <col min="2" max="2" width="14.125" bestFit="1" customWidth="1"/>
    <col min="3" max="3" width="6.875" bestFit="1" customWidth="1"/>
    <col min="4" max="4" width="6.75" bestFit="1" customWidth="1"/>
    <col min="5" max="5" width="8.5" bestFit="1" customWidth="1"/>
    <col min="6" max="6" width="8.125" bestFit="1" customWidth="1"/>
    <col min="7" max="7" width="7.25" bestFit="1" customWidth="1"/>
  </cols>
  <sheetData>
    <row r="1" spans="1:7" ht="63.75" thickBot="1">
      <c r="A1" s="373" t="s">
        <v>389</v>
      </c>
      <c r="B1" s="374" t="s">
        <v>176</v>
      </c>
      <c r="C1" s="374" t="s">
        <v>390</v>
      </c>
      <c r="D1" s="374" t="s">
        <v>236</v>
      </c>
      <c r="E1" s="374" t="s">
        <v>237</v>
      </c>
      <c r="F1" s="374" t="s">
        <v>238</v>
      </c>
      <c r="G1" s="374" t="s">
        <v>239</v>
      </c>
    </row>
    <row r="2" spans="1:7" ht="16.5" thickBot="1">
      <c r="A2" s="471">
        <v>42735</v>
      </c>
      <c r="B2" s="375" t="s">
        <v>231</v>
      </c>
      <c r="C2" s="376">
        <v>76050</v>
      </c>
      <c r="D2" s="376">
        <v>37244</v>
      </c>
      <c r="E2" s="376">
        <v>9410</v>
      </c>
      <c r="F2" s="376">
        <v>73476</v>
      </c>
      <c r="G2" s="376">
        <v>196180</v>
      </c>
    </row>
    <row r="3" spans="1:7" ht="16.5" thickBot="1">
      <c r="A3" s="472"/>
      <c r="B3" s="377" t="s">
        <v>391</v>
      </c>
      <c r="C3" s="378">
        <v>0.38800000000000001</v>
      </c>
      <c r="D3" s="378">
        <v>0.19</v>
      </c>
      <c r="E3" s="378">
        <v>4.8000000000000001E-2</v>
      </c>
      <c r="F3" s="378">
        <v>0.375</v>
      </c>
      <c r="G3" s="378">
        <v>1</v>
      </c>
    </row>
    <row r="4" spans="1:7" ht="16.5" thickBot="1">
      <c r="A4" s="472"/>
      <c r="B4" s="375" t="s">
        <v>192</v>
      </c>
      <c r="C4" s="376">
        <v>67912</v>
      </c>
      <c r="D4" s="376">
        <v>25815</v>
      </c>
      <c r="E4" s="376">
        <v>9816</v>
      </c>
      <c r="F4" s="376">
        <v>63939</v>
      </c>
      <c r="G4" s="376">
        <v>167482</v>
      </c>
    </row>
    <row r="5" spans="1:7" ht="16.5" thickBot="1">
      <c r="A5" s="472"/>
      <c r="B5" s="375" t="s">
        <v>10</v>
      </c>
      <c r="C5" s="376">
        <v>8138</v>
      </c>
      <c r="D5" s="376">
        <v>11429</v>
      </c>
      <c r="E5" s="376">
        <v>-406</v>
      </c>
      <c r="F5" s="376">
        <v>9537</v>
      </c>
      <c r="G5" s="376">
        <v>28698</v>
      </c>
    </row>
    <row r="6" spans="1:7" ht="16.5" thickBot="1">
      <c r="A6" s="472"/>
      <c r="B6" s="379" t="s">
        <v>392</v>
      </c>
      <c r="C6" s="378">
        <v>0.107</v>
      </c>
      <c r="D6" s="378">
        <v>0.307</v>
      </c>
      <c r="E6" s="378">
        <v>-4.2999999999999997E-2</v>
      </c>
      <c r="F6" s="378">
        <v>0.13</v>
      </c>
      <c r="G6" s="378">
        <v>0.14599999999999999</v>
      </c>
    </row>
    <row r="7" spans="1:7" ht="16.5" thickBot="1">
      <c r="A7" s="472"/>
      <c r="B7" s="375" t="s">
        <v>16</v>
      </c>
      <c r="C7" s="376">
        <v>557</v>
      </c>
      <c r="D7" s="376">
        <v>4743</v>
      </c>
      <c r="E7" s="376">
        <v>-1349</v>
      </c>
      <c r="F7" s="376">
        <v>1468</v>
      </c>
      <c r="G7" s="376">
        <v>5419</v>
      </c>
    </row>
    <row r="8" spans="1:7" ht="16.5" thickBot="1">
      <c r="A8" s="473"/>
      <c r="B8" s="379" t="s">
        <v>393</v>
      </c>
      <c r="C8" s="378">
        <v>7.0000000000000001E-3</v>
      </c>
      <c r="D8" s="378">
        <v>0.127</v>
      </c>
      <c r="E8" s="378">
        <v>-0.14299999999999999</v>
      </c>
      <c r="F8" s="378">
        <v>0.02</v>
      </c>
      <c r="G8" s="378">
        <v>2.8000000000000001E-2</v>
      </c>
    </row>
    <row r="9" spans="1:7" ht="16.5" thickBot="1">
      <c r="A9" s="474">
        <v>42369</v>
      </c>
      <c r="B9" s="375" t="s">
        <v>231</v>
      </c>
      <c r="C9" s="376">
        <v>90439</v>
      </c>
      <c r="D9" s="376">
        <v>29751</v>
      </c>
      <c r="E9" s="376">
        <v>12350</v>
      </c>
      <c r="F9" s="376">
        <v>31618</v>
      </c>
      <c r="G9" s="376">
        <v>164158</v>
      </c>
    </row>
    <row r="10" spans="1:7" ht="16.5" thickBot="1">
      <c r="A10" s="472"/>
      <c r="B10" s="377" t="s">
        <v>391</v>
      </c>
      <c r="C10" s="378">
        <v>0.55100000000000005</v>
      </c>
      <c r="D10" s="378">
        <v>0.18099999999999999</v>
      </c>
      <c r="E10" s="378">
        <v>7.4999999999999997E-2</v>
      </c>
      <c r="F10" s="378">
        <v>0.193</v>
      </c>
      <c r="G10" s="378">
        <v>1</v>
      </c>
    </row>
    <row r="11" spans="1:7" ht="16.5" thickBot="1">
      <c r="A11" s="472"/>
      <c r="B11" s="375" t="s">
        <v>394</v>
      </c>
      <c r="C11" s="376">
        <v>79732</v>
      </c>
      <c r="D11" s="376">
        <v>21644</v>
      </c>
      <c r="E11" s="376">
        <v>12261</v>
      </c>
      <c r="F11" s="376">
        <v>24613</v>
      </c>
      <c r="G11" s="376">
        <v>138250</v>
      </c>
    </row>
    <row r="12" spans="1:7" ht="16.5" thickBot="1">
      <c r="A12" s="472"/>
      <c r="B12" s="375" t="s">
        <v>10</v>
      </c>
      <c r="C12" s="376">
        <v>10707</v>
      </c>
      <c r="D12" s="376">
        <v>8107</v>
      </c>
      <c r="E12" s="376">
        <v>89</v>
      </c>
      <c r="F12" s="376">
        <v>7005</v>
      </c>
      <c r="G12" s="376">
        <v>25908</v>
      </c>
    </row>
    <row r="13" spans="1:7" ht="16.5" thickBot="1">
      <c r="A13" s="472"/>
      <c r="B13" s="379" t="s">
        <v>392</v>
      </c>
      <c r="C13" s="378">
        <v>0.11799999999999999</v>
      </c>
      <c r="D13" s="378">
        <v>0.27200000000000002</v>
      </c>
      <c r="E13" s="378">
        <v>7.0000000000000001E-3</v>
      </c>
      <c r="F13" s="378">
        <v>0.222</v>
      </c>
      <c r="G13" s="378">
        <v>0.158</v>
      </c>
    </row>
    <row r="14" spans="1:7" ht="16.5" thickBot="1">
      <c r="A14" s="472"/>
      <c r="B14" s="375" t="s">
        <v>16</v>
      </c>
      <c r="C14" s="376">
        <v>1357</v>
      </c>
      <c r="D14" s="376">
        <v>2306</v>
      </c>
      <c r="E14" s="376">
        <v>-958</v>
      </c>
      <c r="F14" s="376">
        <v>2602</v>
      </c>
      <c r="G14" s="376">
        <v>5307</v>
      </c>
    </row>
    <row r="15" spans="1:7" ht="16.5" thickBot="1">
      <c r="A15" s="473"/>
      <c r="B15" s="379" t="s">
        <v>393</v>
      </c>
      <c r="C15" s="378">
        <v>1.4999999999999999E-2</v>
      </c>
      <c r="D15" s="378">
        <v>7.8E-2</v>
      </c>
      <c r="E15" s="378">
        <v>-7.8E-2</v>
      </c>
      <c r="F15" s="378">
        <v>8.2000000000000003E-2</v>
      </c>
      <c r="G15" s="378">
        <v>3.2000000000000001E-2</v>
      </c>
    </row>
    <row r="16" spans="1:7" ht="16.5" thickBot="1">
      <c r="A16" s="474">
        <v>42004</v>
      </c>
      <c r="B16" s="375" t="s">
        <v>231</v>
      </c>
      <c r="C16" s="376">
        <v>92862</v>
      </c>
      <c r="D16" s="376">
        <v>23544</v>
      </c>
      <c r="E16" s="376">
        <v>14384</v>
      </c>
      <c r="F16" s="376">
        <v>5784</v>
      </c>
      <c r="G16" s="376">
        <v>136574</v>
      </c>
    </row>
    <row r="17" spans="1:7" ht="16.5" thickBot="1">
      <c r="A17" s="472"/>
      <c r="B17" s="377" t="s">
        <v>391</v>
      </c>
      <c r="C17" s="378">
        <v>0.68</v>
      </c>
      <c r="D17" s="378">
        <v>0.17199999999999999</v>
      </c>
      <c r="E17" s="378">
        <v>0.105</v>
      </c>
      <c r="F17" s="378">
        <v>4.2000000000000003E-2</v>
      </c>
      <c r="G17" s="378">
        <v>1</v>
      </c>
    </row>
    <row r="18" spans="1:7" ht="16.5" thickBot="1">
      <c r="A18" s="472"/>
      <c r="B18" s="375" t="s">
        <v>394</v>
      </c>
      <c r="C18" s="376">
        <v>79705</v>
      </c>
      <c r="D18" s="376">
        <v>17245</v>
      </c>
      <c r="E18" s="376">
        <v>12989</v>
      </c>
      <c r="F18" s="376">
        <v>4393</v>
      </c>
      <c r="G18" s="376">
        <v>114332</v>
      </c>
    </row>
    <row r="19" spans="1:7" ht="16.5" thickBot="1">
      <c r="A19" s="472"/>
      <c r="B19" s="375" t="s">
        <v>10</v>
      </c>
      <c r="C19" s="376">
        <v>13157</v>
      </c>
      <c r="D19" s="376">
        <v>6299</v>
      </c>
      <c r="E19" s="376">
        <v>1395</v>
      </c>
      <c r="F19" s="376">
        <v>1391</v>
      </c>
      <c r="G19" s="376">
        <v>22242</v>
      </c>
    </row>
    <row r="20" spans="1:7" ht="16.5" thickBot="1">
      <c r="A20" s="472"/>
      <c r="B20" s="379" t="s">
        <v>392</v>
      </c>
      <c r="C20" s="378">
        <v>0.14199999999999999</v>
      </c>
      <c r="D20" s="378">
        <v>0.26800000000000002</v>
      </c>
      <c r="E20" s="378">
        <v>9.7000000000000003E-2</v>
      </c>
      <c r="F20" s="378">
        <v>0.24</v>
      </c>
      <c r="G20" s="378">
        <v>0.16300000000000001</v>
      </c>
    </row>
    <row r="21" spans="1:7" ht="16.5" thickBot="1">
      <c r="A21" s="472"/>
      <c r="B21" s="375" t="s">
        <v>16</v>
      </c>
      <c r="C21" s="376">
        <v>4072</v>
      </c>
      <c r="D21" s="376">
        <v>2122</v>
      </c>
      <c r="E21" s="376">
        <v>245</v>
      </c>
      <c r="F21" s="376">
        <v>362</v>
      </c>
      <c r="G21" s="376">
        <v>6801</v>
      </c>
    </row>
    <row r="22" spans="1:7" ht="16.5" thickBot="1">
      <c r="A22" s="473"/>
      <c r="B22" s="379" t="s">
        <v>393</v>
      </c>
      <c r="C22" s="378">
        <v>4.3999999999999997E-2</v>
      </c>
      <c r="D22" s="378">
        <v>0.09</v>
      </c>
      <c r="E22" s="378">
        <v>1.7000000000000001E-2</v>
      </c>
      <c r="F22" s="378">
        <v>6.3E-2</v>
      </c>
      <c r="G22" s="378">
        <v>0.05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D33F-D1E0-4731-84CF-47E8ADE37D38}">
  <dimension ref="A2:Y30"/>
  <sheetViews>
    <sheetView rightToLeft="1" topLeftCell="A21" workbookViewId="0">
      <selection activeCell="C31" sqref="C31"/>
    </sheetView>
  </sheetViews>
  <sheetFormatPr defaultRowHeight="14.25"/>
  <cols>
    <col min="1" max="1" width="27.125" bestFit="1" customWidth="1"/>
    <col min="2" max="2" width="16.375" style="276" customWidth="1"/>
    <col min="3" max="8" width="8.375" bestFit="1" customWidth="1"/>
    <col min="9" max="9" width="7.625" bestFit="1" customWidth="1"/>
    <col min="10" max="10" width="6.625" bestFit="1" customWidth="1"/>
    <col min="11" max="11" width="7.625" bestFit="1" customWidth="1"/>
    <col min="12" max="12" width="26.75" bestFit="1" customWidth="1"/>
    <col min="13" max="13" width="8.125" bestFit="1" customWidth="1"/>
    <col min="14" max="14" width="6.625" bestFit="1" customWidth="1"/>
    <col min="15" max="15" width="7.625" bestFit="1" customWidth="1"/>
    <col min="16" max="16" width="6.625" bestFit="1" customWidth="1"/>
    <col min="17" max="17" width="6.375" bestFit="1" customWidth="1"/>
    <col min="18" max="18" width="7.125" bestFit="1" customWidth="1"/>
    <col min="19" max="19" width="8.125" bestFit="1" customWidth="1"/>
    <col min="20" max="22" width="7.125" bestFit="1" customWidth="1"/>
    <col min="23" max="23" width="6.875" bestFit="1" customWidth="1"/>
    <col min="24" max="24" width="7.375" bestFit="1" customWidth="1"/>
    <col min="25" max="25" width="5.375" bestFit="1" customWidth="1"/>
  </cols>
  <sheetData>
    <row r="2" spans="1:25">
      <c r="A2" s="209"/>
      <c r="B2" s="347" t="s">
        <v>265</v>
      </c>
      <c r="C2" s="209" t="s">
        <v>266</v>
      </c>
      <c r="D2" s="209" t="s">
        <v>267</v>
      </c>
      <c r="E2" s="209" t="s">
        <v>268</v>
      </c>
      <c r="F2" s="209" t="s">
        <v>269</v>
      </c>
      <c r="G2" s="209" t="s">
        <v>270</v>
      </c>
      <c r="H2" s="209" t="s">
        <v>271</v>
      </c>
      <c r="I2" s="209" t="s">
        <v>272</v>
      </c>
      <c r="J2" s="209" t="s">
        <v>273</v>
      </c>
      <c r="K2" s="209" t="s">
        <v>274</v>
      </c>
      <c r="L2" s="209" t="s">
        <v>275</v>
      </c>
      <c r="M2" s="209" t="s">
        <v>276</v>
      </c>
      <c r="N2" s="209" t="s">
        <v>277</v>
      </c>
      <c r="O2" s="209" t="s">
        <v>278</v>
      </c>
      <c r="P2" s="209" t="s">
        <v>279</v>
      </c>
      <c r="Q2" s="209" t="s">
        <v>280</v>
      </c>
      <c r="R2" s="209" t="s">
        <v>281</v>
      </c>
      <c r="S2" s="209" t="s">
        <v>282</v>
      </c>
      <c r="T2" s="209" t="s">
        <v>283</v>
      </c>
      <c r="U2" s="209" t="s">
        <v>284</v>
      </c>
      <c r="V2" s="209" t="s">
        <v>285</v>
      </c>
      <c r="W2" s="209" t="s">
        <v>286</v>
      </c>
      <c r="X2" s="209" t="s">
        <v>287</v>
      </c>
      <c r="Y2" s="209" t="s">
        <v>288</v>
      </c>
    </row>
    <row r="3" spans="1:25">
      <c r="A3" s="209" t="s">
        <v>6</v>
      </c>
      <c r="B3" s="347">
        <f>11145-3645</f>
        <v>7500</v>
      </c>
      <c r="C3" s="209">
        <v>7228</v>
      </c>
      <c r="D3" s="209">
        <v>4515</v>
      </c>
      <c r="E3" s="209">
        <v>4263</v>
      </c>
      <c r="F3" s="209">
        <v>4372</v>
      </c>
      <c r="G3" s="209">
        <v>4751</v>
      </c>
      <c r="H3" s="209">
        <v>4787</v>
      </c>
      <c r="I3" s="209">
        <v>5670</v>
      </c>
      <c r="J3" s="209">
        <v>8782</v>
      </c>
      <c r="K3" s="209">
        <v>7626</v>
      </c>
      <c r="L3" s="209">
        <v>4533</v>
      </c>
      <c r="M3" s="209">
        <v>4940</v>
      </c>
      <c r="N3" s="209">
        <v>4968</v>
      </c>
      <c r="O3" s="209">
        <v>3707</v>
      </c>
      <c r="P3" s="209">
        <v>3723</v>
      </c>
      <c r="Q3" s="209">
        <v>4711</v>
      </c>
      <c r="R3" s="209">
        <v>4455</v>
      </c>
      <c r="S3" s="209">
        <v>4272</v>
      </c>
      <c r="T3" s="209">
        <v>3910</v>
      </c>
      <c r="U3" s="209">
        <v>3384</v>
      </c>
      <c r="V3" s="209">
        <v>3198</v>
      </c>
      <c r="W3" s="209">
        <v>2141</v>
      </c>
      <c r="X3" s="209">
        <v>2009</v>
      </c>
      <c r="Y3" s="209" t="s">
        <v>138</v>
      </c>
    </row>
    <row r="5" spans="1:25" ht="31.5">
      <c r="A5" s="257" t="s">
        <v>253</v>
      </c>
      <c r="B5" s="269" t="s">
        <v>252</v>
      </c>
      <c r="C5" s="222">
        <v>2016</v>
      </c>
      <c r="D5" s="222">
        <f t="shared" ref="D5:E5" si="0">C5-1</f>
        <v>2015</v>
      </c>
      <c r="E5" s="222">
        <f t="shared" si="0"/>
        <v>2014</v>
      </c>
      <c r="F5" s="222">
        <v>2013</v>
      </c>
      <c r="G5" s="222">
        <v>2012</v>
      </c>
      <c r="H5" s="222">
        <v>2011</v>
      </c>
    </row>
    <row r="6" spans="1:25" ht="15.75" customHeight="1">
      <c r="A6" s="468" t="s">
        <v>250</v>
      </c>
      <c r="B6" s="268" t="s">
        <v>248</v>
      </c>
      <c r="C6" s="248">
        <v>76050</v>
      </c>
      <c r="D6" s="248">
        <v>90439</v>
      </c>
      <c r="E6" s="248">
        <v>92862</v>
      </c>
      <c r="F6" s="248">
        <v>90735</v>
      </c>
      <c r="G6" s="248">
        <v>102939</v>
      </c>
      <c r="H6" s="248">
        <v>87701</v>
      </c>
    </row>
    <row r="7" spans="1:25" ht="15.75" customHeight="1">
      <c r="A7" s="468"/>
      <c r="B7" s="268" t="s">
        <v>6</v>
      </c>
      <c r="C7" s="248">
        <v>3215</v>
      </c>
      <c r="D7" s="248">
        <v>2935</v>
      </c>
      <c r="E7" s="248">
        <v>3022</v>
      </c>
      <c r="F7" s="248">
        <v>3005</v>
      </c>
      <c r="G7" s="248">
        <v>2798</v>
      </c>
      <c r="H7" s="248">
        <v>2844</v>
      </c>
      <c r="L7" s="243"/>
      <c r="M7" s="243"/>
      <c r="N7" s="243"/>
      <c r="O7" s="243"/>
      <c r="P7" s="243"/>
      <c r="Q7" s="243"/>
    </row>
    <row r="8" spans="1:25" ht="15.75">
      <c r="A8" s="468"/>
      <c r="B8" s="268" t="s">
        <v>289</v>
      </c>
      <c r="C8" s="260">
        <f>C7/C6</f>
        <v>4.2274819197896121E-2</v>
      </c>
      <c r="D8" s="260">
        <f t="shared" ref="D8:E8" si="1">D7/D6</f>
        <v>3.2452813498601268E-2</v>
      </c>
      <c r="E8" s="260">
        <f t="shared" si="1"/>
        <v>3.2542913139928062E-2</v>
      </c>
      <c r="F8" s="260">
        <f t="shared" ref="F8" si="2">F7/F6</f>
        <v>3.3118421777704306E-2</v>
      </c>
      <c r="G8" s="260">
        <f t="shared" ref="G8" si="3">G7/G6</f>
        <v>2.7181146115660731E-2</v>
      </c>
      <c r="H8" s="260">
        <f t="shared" ref="H8" si="4">H7/H6</f>
        <v>3.2428364556846556E-2</v>
      </c>
      <c r="L8" s="243"/>
      <c r="M8" s="243"/>
      <c r="N8" s="243"/>
      <c r="O8" s="243"/>
      <c r="P8" s="243"/>
      <c r="Q8" s="243"/>
    </row>
    <row r="9" spans="1:25" ht="15.75">
      <c r="A9" s="468"/>
      <c r="B9" s="268" t="s">
        <v>236</v>
      </c>
      <c r="C9" s="248">
        <v>37244</v>
      </c>
      <c r="D9" s="248">
        <v>29751</v>
      </c>
      <c r="E9" s="248">
        <v>23544</v>
      </c>
      <c r="F9" s="248">
        <v>26271</v>
      </c>
      <c r="G9" s="248">
        <v>21560</v>
      </c>
      <c r="H9" s="248">
        <v>21304</v>
      </c>
      <c r="I9" s="243"/>
      <c r="L9" s="243"/>
      <c r="M9" s="243"/>
      <c r="N9" s="243"/>
      <c r="O9" s="243"/>
      <c r="P9" s="243"/>
      <c r="Q9" s="243"/>
    </row>
    <row r="10" spans="1:25" ht="15.75">
      <c r="A10" s="468"/>
      <c r="B10" s="268" t="s">
        <v>6</v>
      </c>
      <c r="C10" s="248">
        <v>1335</v>
      </c>
      <c r="D10" s="248">
        <v>1097</v>
      </c>
      <c r="E10" s="248">
        <v>545</v>
      </c>
      <c r="F10" s="248">
        <v>550</v>
      </c>
      <c r="G10" s="248">
        <v>878</v>
      </c>
      <c r="H10" s="248">
        <v>1137</v>
      </c>
      <c r="L10" s="243"/>
      <c r="M10" s="243"/>
      <c r="N10" s="243"/>
      <c r="O10" s="243"/>
      <c r="P10" s="243"/>
      <c r="Q10" s="243"/>
    </row>
    <row r="11" spans="1:25" ht="15.75">
      <c r="A11" s="468"/>
      <c r="B11" s="268" t="s">
        <v>289</v>
      </c>
      <c r="C11" s="260">
        <f>C10/C9</f>
        <v>3.5844699817420257E-2</v>
      </c>
      <c r="D11" s="260">
        <f t="shared" ref="D11" si="5">D10/D9</f>
        <v>3.6872710161002992E-2</v>
      </c>
      <c r="E11" s="260">
        <f t="shared" ref="E11" si="6">E10/E9</f>
        <v>2.3148148148148147E-2</v>
      </c>
      <c r="F11" s="260">
        <f t="shared" ref="F11" si="7">F10/F9</f>
        <v>2.0935632446423814E-2</v>
      </c>
      <c r="G11" s="260">
        <f t="shared" ref="G11" si="8">G10/G9</f>
        <v>4.0723562152133581E-2</v>
      </c>
      <c r="H11" s="260">
        <f t="shared" ref="H11" si="9">H10/H9</f>
        <v>5.337025910627112E-2</v>
      </c>
      <c r="L11" s="243"/>
      <c r="M11" s="243"/>
      <c r="N11" s="243"/>
      <c r="O11" s="243"/>
      <c r="P11" s="243"/>
      <c r="Q11" s="243"/>
    </row>
    <row r="12" spans="1:25" ht="31.5">
      <c r="A12" s="468"/>
      <c r="B12" s="268" t="s">
        <v>237</v>
      </c>
      <c r="C12" s="248">
        <v>9410</v>
      </c>
      <c r="D12" s="248">
        <v>12350</v>
      </c>
      <c r="E12" s="248">
        <v>14384</v>
      </c>
      <c r="F12" s="248">
        <v>13475</v>
      </c>
      <c r="G12" s="248">
        <v>11562</v>
      </c>
      <c r="H12" s="248">
        <v>10645</v>
      </c>
      <c r="I12" s="243"/>
    </row>
    <row r="13" spans="1:25" ht="15.75">
      <c r="A13" s="468"/>
      <c r="B13" s="268" t="s">
        <v>6</v>
      </c>
      <c r="C13" s="248">
        <v>808</v>
      </c>
      <c r="D13" s="248">
        <v>778</v>
      </c>
      <c r="E13" s="248">
        <v>739</v>
      </c>
      <c r="F13" s="248">
        <v>708</v>
      </c>
      <c r="G13" s="248">
        <v>696</v>
      </c>
      <c r="H13" s="248">
        <v>770</v>
      </c>
    </row>
    <row r="14" spans="1:25" ht="15.75">
      <c r="A14" s="468"/>
      <c r="B14" s="268" t="s">
        <v>289</v>
      </c>
      <c r="C14" s="260">
        <f>C13/C12</f>
        <v>8.5866099893730077E-2</v>
      </c>
      <c r="D14" s="260">
        <f t="shared" ref="D14" si="10">D13/D12</f>
        <v>6.2995951417004051E-2</v>
      </c>
      <c r="E14" s="260">
        <f t="shared" ref="E14" si="11">E13/E12</f>
        <v>5.1376529477196883E-2</v>
      </c>
      <c r="F14" s="260">
        <f t="shared" ref="F14" si="12">F13/F12</f>
        <v>5.2541743970315399E-2</v>
      </c>
      <c r="G14" s="260">
        <f t="shared" ref="G14" si="13">G13/G12</f>
        <v>6.0197197716658019E-2</v>
      </c>
      <c r="H14" s="260">
        <f t="shared" ref="H14" si="14">H13/H12</f>
        <v>7.2334429309534987E-2</v>
      </c>
    </row>
    <row r="15" spans="1:25" ht="31.5">
      <c r="A15" s="468"/>
      <c r="B15" s="268" t="s">
        <v>238</v>
      </c>
      <c r="C15" s="248">
        <v>73476</v>
      </c>
      <c r="D15" s="248">
        <v>31618</v>
      </c>
      <c r="E15" s="248">
        <v>5784</v>
      </c>
      <c r="F15" s="248"/>
      <c r="G15" s="248"/>
      <c r="H15" s="248"/>
    </row>
    <row r="16" spans="1:25" ht="15.75">
      <c r="A16" s="468"/>
      <c r="B16" s="268" t="s">
        <v>6</v>
      </c>
      <c r="C16" s="251">
        <v>5787</v>
      </c>
      <c r="D16" s="251">
        <v>2418</v>
      </c>
      <c r="E16" s="251">
        <v>209</v>
      </c>
      <c r="F16" s="251">
        <v>0</v>
      </c>
      <c r="G16" s="251">
        <v>0</v>
      </c>
      <c r="H16" s="251">
        <v>0</v>
      </c>
    </row>
    <row r="17" spans="1:25" ht="15.75">
      <c r="A17" s="468"/>
      <c r="B17" s="268" t="s">
        <v>289</v>
      </c>
      <c r="C17" s="260">
        <f>C16/C15</f>
        <v>7.8760411562959334E-2</v>
      </c>
      <c r="D17" s="260">
        <f t="shared" ref="D17" si="15">D16/D15</f>
        <v>7.6475425390600288E-2</v>
      </c>
      <c r="E17" s="260">
        <f t="shared" ref="E17" si="16">E16/E15</f>
        <v>3.6134163208852009E-2</v>
      </c>
      <c r="F17" s="260" t="s">
        <v>209</v>
      </c>
      <c r="G17" s="260" t="s">
        <v>209</v>
      </c>
      <c r="H17" s="260" t="s">
        <v>209</v>
      </c>
    </row>
    <row r="18" spans="1:25" ht="15.75">
      <c r="A18" s="475" t="s">
        <v>235</v>
      </c>
      <c r="B18" s="475"/>
      <c r="C18" s="261">
        <v>196180</v>
      </c>
      <c r="D18" s="261">
        <v>164158</v>
      </c>
      <c r="E18" s="261">
        <v>136574</v>
      </c>
      <c r="F18" s="261">
        <v>130481</v>
      </c>
      <c r="G18" s="261">
        <v>136061</v>
      </c>
      <c r="H18" s="261">
        <v>119650</v>
      </c>
    </row>
    <row r="19" spans="1:25" ht="15.75">
      <c r="A19" s="475" t="s">
        <v>290</v>
      </c>
      <c r="B19" s="475"/>
      <c r="C19" s="262">
        <f>C16+C13+C10+C7-3645</f>
        <v>7500</v>
      </c>
      <c r="D19" s="262">
        <f>D16+D13+D10+D7</f>
        <v>7228</v>
      </c>
      <c r="E19" s="262">
        <f>E16+E13+E10+E7</f>
        <v>4515</v>
      </c>
      <c r="F19" s="262">
        <f t="shared" ref="F19:H19" si="17">F16+F13+F10+F7</f>
        <v>4263</v>
      </c>
      <c r="G19" s="262">
        <f t="shared" si="17"/>
        <v>4372</v>
      </c>
      <c r="H19" s="262">
        <f t="shared" si="17"/>
        <v>4751</v>
      </c>
    </row>
    <row r="20" spans="1:25" ht="15.75">
      <c r="A20" s="476" t="s">
        <v>289</v>
      </c>
      <c r="B20" s="476"/>
      <c r="C20" s="263">
        <f>C19/C18</f>
        <v>3.8230196758079316E-2</v>
      </c>
      <c r="D20" s="263">
        <f t="shared" ref="D20:E20" si="18">D19/D18</f>
        <v>4.4030750861974437E-2</v>
      </c>
      <c r="E20" s="263">
        <f t="shared" si="18"/>
        <v>3.3059000981153074E-2</v>
      </c>
      <c r="F20" s="263">
        <f t="shared" ref="F20" si="19">F19/F18</f>
        <v>3.2671423425632853E-2</v>
      </c>
      <c r="G20" s="263">
        <f t="shared" ref="G20" si="20">G19/G18</f>
        <v>3.2132646386547212E-2</v>
      </c>
      <c r="H20" s="263">
        <f t="shared" ref="H20" si="21">H19/H18</f>
        <v>3.9707480150438783E-2</v>
      </c>
      <c r="K20" s="84"/>
    </row>
    <row r="21" spans="1:25">
      <c r="C21" s="240"/>
      <c r="D21" s="240"/>
      <c r="E21" s="240"/>
      <c r="F21" s="240"/>
      <c r="G21" s="240"/>
      <c r="K21" s="84"/>
    </row>
    <row r="22" spans="1:25" ht="28.5">
      <c r="A22" s="72" t="s">
        <v>91</v>
      </c>
      <c r="B22" s="348">
        <f>2016</f>
        <v>2016</v>
      </c>
      <c r="C22" s="73">
        <f t="shared" ref="C22:Y22" si="22">B22-1</f>
        <v>2015</v>
      </c>
      <c r="D22" s="73">
        <f t="shared" si="22"/>
        <v>2014</v>
      </c>
      <c r="E22" s="73">
        <f t="shared" si="22"/>
        <v>2013</v>
      </c>
      <c r="F22" s="73">
        <f t="shared" si="22"/>
        <v>2012</v>
      </c>
      <c r="G22" s="73">
        <f t="shared" si="22"/>
        <v>2011</v>
      </c>
      <c r="H22" s="73">
        <f t="shared" si="22"/>
        <v>2010</v>
      </c>
      <c r="I22" s="73">
        <f t="shared" si="22"/>
        <v>2009</v>
      </c>
      <c r="J22" s="73">
        <f t="shared" si="22"/>
        <v>2008</v>
      </c>
      <c r="K22" s="73">
        <f t="shared" si="22"/>
        <v>2007</v>
      </c>
      <c r="L22" s="73">
        <f t="shared" si="22"/>
        <v>2006</v>
      </c>
      <c r="M22" s="73">
        <f t="shared" si="22"/>
        <v>2005</v>
      </c>
      <c r="N22" s="73">
        <f t="shared" si="22"/>
        <v>2004</v>
      </c>
      <c r="O22" s="73">
        <f t="shared" si="22"/>
        <v>2003</v>
      </c>
      <c r="P22" s="73">
        <f t="shared" si="22"/>
        <v>2002</v>
      </c>
      <c r="Q22" s="73">
        <f t="shared" si="22"/>
        <v>2001</v>
      </c>
      <c r="R22" s="73">
        <f t="shared" si="22"/>
        <v>2000</v>
      </c>
      <c r="S22" s="73">
        <f t="shared" si="22"/>
        <v>1999</v>
      </c>
      <c r="T22" s="73">
        <f t="shared" si="22"/>
        <v>1998</v>
      </c>
      <c r="U22" s="73">
        <f t="shared" si="22"/>
        <v>1997</v>
      </c>
      <c r="V22" s="73">
        <f t="shared" si="22"/>
        <v>1996</v>
      </c>
      <c r="W22" s="73">
        <f t="shared" si="22"/>
        <v>1995</v>
      </c>
      <c r="X22" s="73">
        <f t="shared" si="22"/>
        <v>1994</v>
      </c>
      <c r="Y22" s="73">
        <f t="shared" si="22"/>
        <v>1993</v>
      </c>
    </row>
    <row r="23" spans="1:25">
      <c r="A23" s="13"/>
      <c r="B23" s="349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5.75">
      <c r="A24" s="74" t="s">
        <v>152</v>
      </c>
      <c r="B24" s="349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>
      <c r="A25" s="18" t="s">
        <v>154</v>
      </c>
      <c r="B25" s="350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>
      <c r="A26" t="s">
        <v>94</v>
      </c>
      <c r="B26" s="350">
        <v>-7607</v>
      </c>
      <c r="C26" s="19">
        <v>-27627</v>
      </c>
      <c r="D26" s="19">
        <v>-8462</v>
      </c>
      <c r="E26" s="19">
        <v>-3439</v>
      </c>
      <c r="F26" s="19">
        <v>6844</v>
      </c>
      <c r="G26" s="19">
        <v>-15216</v>
      </c>
      <c r="H26" s="19">
        <v>7693</v>
      </c>
      <c r="I26" s="19">
        <v>35981</v>
      </c>
      <c r="J26" s="19">
        <v>5542</v>
      </c>
      <c r="K26" s="19">
        <v>7031</v>
      </c>
      <c r="L26" s="19">
        <v>8235</v>
      </c>
      <c r="M26" s="19">
        <v>-10738</v>
      </c>
      <c r="N26" s="19">
        <v>4864</v>
      </c>
      <c r="O26" s="19">
        <v>-10024</v>
      </c>
      <c r="P26" s="19">
        <v>2328</v>
      </c>
      <c r="Q26" s="19">
        <v>241</v>
      </c>
      <c r="R26" s="19">
        <v>5133</v>
      </c>
      <c r="S26" s="19">
        <v>-12932</v>
      </c>
      <c r="T26" s="19">
        <v>2189</v>
      </c>
      <c r="U26" s="19">
        <v>-3309</v>
      </c>
      <c r="V26" s="19">
        <v>-5208</v>
      </c>
      <c r="W26" s="19">
        <v>-4255</v>
      </c>
      <c r="X26" s="19">
        <v>14118</v>
      </c>
      <c r="Y26" s="19" t="s">
        <v>138</v>
      </c>
    </row>
    <row r="27" spans="1:25">
      <c r="A27" t="s">
        <v>95</v>
      </c>
      <c r="B27" s="350">
        <v>7488</v>
      </c>
      <c r="C27" s="19">
        <v>4433</v>
      </c>
      <c r="D27" s="19">
        <v>-5572</v>
      </c>
      <c r="E27" s="19">
        <v>8845</v>
      </c>
      <c r="F27" s="19">
        <v>41</v>
      </c>
      <c r="G27" s="19">
        <v>4365</v>
      </c>
      <c r="H27" s="19">
        <v>6943</v>
      </c>
      <c r="I27" s="19">
        <v>19350</v>
      </c>
      <c r="J27" s="19">
        <v>4524</v>
      </c>
      <c r="K27" s="19">
        <v>-10516</v>
      </c>
      <c r="L27" s="19">
        <v>-8404</v>
      </c>
      <c r="M27" s="19">
        <v>-1112</v>
      </c>
      <c r="N27" s="19">
        <v>-3018</v>
      </c>
      <c r="O27" s="19">
        <v>5231</v>
      </c>
      <c r="P27" s="19">
        <v>2383</v>
      </c>
      <c r="Q27" s="19">
        <v>1332</v>
      </c>
      <c r="R27" s="19">
        <v>-9941</v>
      </c>
      <c r="S27" s="19">
        <v>-1137</v>
      </c>
      <c r="T27" s="19">
        <v>-5228</v>
      </c>
      <c r="U27" s="19">
        <v>-837</v>
      </c>
      <c r="V27" s="19">
        <v>5210</v>
      </c>
      <c r="W27" s="19">
        <v>-8218</v>
      </c>
      <c r="X27" s="19">
        <v>7669</v>
      </c>
      <c r="Y27" s="19" t="s">
        <v>138</v>
      </c>
    </row>
    <row r="28" spans="1:25">
      <c r="A28" t="s">
        <v>96</v>
      </c>
      <c r="B28" s="350">
        <v>12439</v>
      </c>
      <c r="C28" s="19">
        <v>-9340</v>
      </c>
      <c r="D28" s="19">
        <v>14696</v>
      </c>
      <c r="E28" s="19">
        <v>-2852</v>
      </c>
      <c r="F28" s="19">
        <v>1973</v>
      </c>
      <c r="G28" s="19">
        <v>11243</v>
      </c>
      <c r="H28" s="19">
        <v>-8270</v>
      </c>
      <c r="I28" s="19">
        <v>-22922</v>
      </c>
      <c r="J28" s="19">
        <v>-426</v>
      </c>
      <c r="K28" s="19">
        <v>-9343</v>
      </c>
      <c r="L28" s="19">
        <v>10963</v>
      </c>
      <c r="M28" s="19">
        <v>-3448</v>
      </c>
      <c r="N28" s="19">
        <v>-868</v>
      </c>
      <c r="O28" s="19">
        <v>-226</v>
      </c>
      <c r="P28" s="19">
        <v>-3018</v>
      </c>
      <c r="Q28" s="19">
        <v>2743</v>
      </c>
      <c r="R28" s="19">
        <v>-3967</v>
      </c>
      <c r="S28" s="19">
        <v>2777</v>
      </c>
      <c r="T28" s="19">
        <v>825</v>
      </c>
      <c r="U28" s="19">
        <v>-5234</v>
      </c>
      <c r="V28" s="19">
        <v>-4478</v>
      </c>
      <c r="W28" s="19">
        <v>11283</v>
      </c>
      <c r="X28" s="19">
        <v>-5188</v>
      </c>
      <c r="Y28" s="19" t="s">
        <v>138</v>
      </c>
    </row>
    <row r="29" spans="1:25">
      <c r="A29" t="s">
        <v>97</v>
      </c>
      <c r="B29" s="350">
        <v>-1222</v>
      </c>
      <c r="C29" s="19">
        <v>-346</v>
      </c>
      <c r="D29" s="19">
        <v>1284</v>
      </c>
      <c r="E29" s="19">
        <v>183</v>
      </c>
      <c r="F29" s="19">
        <v>-564</v>
      </c>
      <c r="G29" s="19">
        <v>1319</v>
      </c>
      <c r="H29" s="19">
        <v>-3492</v>
      </c>
      <c r="I29" s="19">
        <v>-4019</v>
      </c>
      <c r="J29" s="19">
        <v>-8914</v>
      </c>
      <c r="K29" s="19">
        <v>7055</v>
      </c>
      <c r="L29" s="19">
        <v>-1186</v>
      </c>
      <c r="M29" s="19">
        <v>972</v>
      </c>
      <c r="N29" s="19">
        <v>1272</v>
      </c>
      <c r="O29" s="19">
        <v>-335</v>
      </c>
      <c r="P29" s="19">
        <v>179</v>
      </c>
      <c r="Q29" s="19">
        <v>5</v>
      </c>
      <c r="R29" s="19">
        <v>-416</v>
      </c>
      <c r="S29" s="19">
        <v>1107</v>
      </c>
      <c r="T29" s="19">
        <v>-1656</v>
      </c>
      <c r="U29" s="19">
        <v>1310</v>
      </c>
      <c r="V29" s="19">
        <v>1091</v>
      </c>
      <c r="W29" s="19">
        <v>1007</v>
      </c>
      <c r="X29" s="19">
        <v>117</v>
      </c>
      <c r="Y29" s="19" t="s">
        <v>138</v>
      </c>
    </row>
    <row r="30" spans="1:25">
      <c r="A30" s="18" t="s">
        <v>98</v>
      </c>
      <c r="B30" s="351">
        <f t="shared" ref="B30:N30" si="23">SUM(B26:B29)</f>
        <v>11098</v>
      </c>
      <c r="C30" s="51">
        <f t="shared" si="23"/>
        <v>-32880</v>
      </c>
      <c r="D30" s="51">
        <f t="shared" si="23"/>
        <v>1946</v>
      </c>
      <c r="E30" s="51">
        <f t="shared" si="23"/>
        <v>2737</v>
      </c>
      <c r="F30" s="51">
        <f t="shared" si="23"/>
        <v>8294</v>
      </c>
      <c r="G30" s="51">
        <f t="shared" si="23"/>
        <v>1711</v>
      </c>
      <c r="H30" s="51">
        <f t="shared" si="23"/>
        <v>2874</v>
      </c>
      <c r="I30" s="51">
        <f t="shared" si="23"/>
        <v>28390</v>
      </c>
      <c r="J30" s="51">
        <f t="shared" si="23"/>
        <v>726</v>
      </c>
      <c r="K30" s="51">
        <f t="shared" si="23"/>
        <v>-5773</v>
      </c>
      <c r="L30" s="51">
        <f t="shared" si="23"/>
        <v>9608</v>
      </c>
      <c r="M30" s="51">
        <f t="shared" si="23"/>
        <v>-14326</v>
      </c>
      <c r="N30" s="51">
        <f t="shared" si="23"/>
        <v>2250</v>
      </c>
      <c r="O30" s="51">
        <f t="shared" ref="O30:Y30" si="24">SUM(O26:O29)</f>
        <v>-5354</v>
      </c>
      <c r="P30" s="51">
        <f t="shared" si="24"/>
        <v>1872</v>
      </c>
      <c r="Q30" s="51">
        <f t="shared" si="24"/>
        <v>4321</v>
      </c>
      <c r="R30" s="51">
        <f t="shared" si="24"/>
        <v>-9191</v>
      </c>
      <c r="S30" s="51">
        <f t="shared" si="24"/>
        <v>-10185</v>
      </c>
      <c r="T30" s="51">
        <f t="shared" si="24"/>
        <v>-3870</v>
      </c>
      <c r="U30" s="51">
        <f t="shared" si="24"/>
        <v>-8070</v>
      </c>
      <c r="V30" s="51">
        <f t="shared" si="24"/>
        <v>-3385</v>
      </c>
      <c r="W30" s="51">
        <f t="shared" si="24"/>
        <v>-183</v>
      </c>
      <c r="X30" s="51">
        <f t="shared" si="24"/>
        <v>16716</v>
      </c>
      <c r="Y30" s="51">
        <f t="shared" si="24"/>
        <v>0</v>
      </c>
    </row>
  </sheetData>
  <mergeCells count="4">
    <mergeCell ref="A19:B19"/>
    <mergeCell ref="A6:A17"/>
    <mergeCell ref="A18:B18"/>
    <mergeCell ref="A20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8329-990D-48DC-9DF1-86A2E9D94F0A}">
  <dimension ref="A1:K7"/>
  <sheetViews>
    <sheetView rightToLeft="1" workbookViewId="0">
      <selection activeCell="K4" sqref="A1:K4"/>
    </sheetView>
  </sheetViews>
  <sheetFormatPr defaultRowHeight="14.25"/>
  <cols>
    <col min="1" max="1" width="12.5" bestFit="1" customWidth="1"/>
    <col min="2" max="2" width="13.125" bestFit="1" customWidth="1"/>
    <col min="3" max="3" width="6.875" customWidth="1"/>
    <col min="4" max="11" width="6.25" bestFit="1" customWidth="1"/>
  </cols>
  <sheetData>
    <row r="1" spans="1:11" ht="63">
      <c r="A1" s="403" t="s">
        <v>31</v>
      </c>
      <c r="B1" s="404" t="s">
        <v>400</v>
      </c>
      <c r="C1" s="404" t="s">
        <v>293</v>
      </c>
      <c r="D1" s="404" t="s">
        <v>246</v>
      </c>
      <c r="E1" s="404">
        <v>2016</v>
      </c>
      <c r="F1" s="404">
        <f t="shared" ref="F1:K1" si="0">E1-1</f>
        <v>2015</v>
      </c>
      <c r="G1" s="404">
        <f t="shared" si="0"/>
        <v>2014</v>
      </c>
      <c r="H1" s="404">
        <f t="shared" si="0"/>
        <v>2013</v>
      </c>
      <c r="I1" s="404">
        <f t="shared" si="0"/>
        <v>2012</v>
      </c>
      <c r="J1" s="404">
        <f t="shared" si="0"/>
        <v>2011</v>
      </c>
      <c r="K1" s="405">
        <f t="shared" si="0"/>
        <v>2010</v>
      </c>
    </row>
    <row r="2" spans="1:11" ht="15.75">
      <c r="A2" s="406" t="s">
        <v>48</v>
      </c>
      <c r="B2" s="264">
        <f>D2/C2</f>
        <v>3296.840336134454</v>
      </c>
      <c r="C2" s="242">
        <f>AVERAGE(7+10)/2</f>
        <v>8.5</v>
      </c>
      <c r="D2" s="264">
        <f>AVERAGE(E2:K2)</f>
        <v>28023.142857142859</v>
      </c>
      <c r="E2" s="264">
        <v>29624</v>
      </c>
      <c r="F2" s="264">
        <v>31223</v>
      </c>
      <c r="G2" s="264">
        <v>26165</v>
      </c>
      <c r="H2" s="264">
        <v>23740</v>
      </c>
      <c r="I2" s="264">
        <v>25332</v>
      </c>
      <c r="J2" s="264">
        <v>28420</v>
      </c>
      <c r="K2" s="407">
        <v>31658</v>
      </c>
    </row>
    <row r="3" spans="1:11" ht="31.5">
      <c r="A3" s="406" t="s">
        <v>50</v>
      </c>
      <c r="B3" s="242">
        <f>D3/C3</f>
        <v>275</v>
      </c>
      <c r="C3" s="242">
        <v>5</v>
      </c>
      <c r="D3" s="264">
        <f>AVERAGE(E3:K3)</f>
        <v>1375</v>
      </c>
      <c r="E3" s="264">
        <v>460</v>
      </c>
      <c r="F3" s="264">
        <v>845</v>
      </c>
      <c r="G3" s="264">
        <v>1618</v>
      </c>
      <c r="H3" s="264">
        <v>17</v>
      </c>
      <c r="I3" s="264">
        <v>1909</v>
      </c>
      <c r="J3" s="264">
        <v>1926</v>
      </c>
      <c r="K3" s="407">
        <v>2850</v>
      </c>
    </row>
    <row r="4" spans="1:11" ht="16.5" thickBot="1">
      <c r="A4" s="408" t="s">
        <v>239</v>
      </c>
      <c r="B4" s="409">
        <f>SUM(B2:B3)</f>
        <v>3571.840336134454</v>
      </c>
      <c r="C4" s="410">
        <f>(D2/D4)*C2+(D3/D4)*C3</f>
        <v>8.3362991831359619</v>
      </c>
      <c r="D4" s="413">
        <f t="shared" ref="D4:J4" si="1">SUM(D1:D3)</f>
        <v>29398.142857142859</v>
      </c>
      <c r="E4" s="411">
        <f t="shared" si="1"/>
        <v>32100</v>
      </c>
      <c r="F4" s="411">
        <f t="shared" si="1"/>
        <v>34083</v>
      </c>
      <c r="G4" s="411">
        <f t="shared" si="1"/>
        <v>29797</v>
      </c>
      <c r="H4" s="411">
        <f t="shared" si="1"/>
        <v>25770</v>
      </c>
      <c r="I4" s="411">
        <f t="shared" si="1"/>
        <v>29253</v>
      </c>
      <c r="J4" s="411">
        <f t="shared" si="1"/>
        <v>32357</v>
      </c>
      <c r="K4" s="412">
        <f>SUM(K1:K3)</f>
        <v>36518</v>
      </c>
    </row>
    <row r="7" spans="1:11">
      <c r="C7" t="s">
        <v>146</v>
      </c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7229-281A-4157-B059-DC9D0B26FC04}">
  <dimension ref="A2:N14"/>
  <sheetViews>
    <sheetView rightToLeft="1" workbookViewId="0">
      <selection activeCell="A13" sqref="A13:J14"/>
    </sheetView>
  </sheetViews>
  <sheetFormatPr defaultRowHeight="14.25"/>
  <cols>
    <col min="4" max="4" width="13.625" bestFit="1" customWidth="1"/>
    <col min="13" max="13" width="7" bestFit="1" customWidth="1"/>
    <col min="14" max="14" width="27.125" customWidth="1"/>
  </cols>
  <sheetData>
    <row r="2" spans="1:14">
      <c r="H2" t="s">
        <v>317</v>
      </c>
      <c r="I2" t="s">
        <v>318</v>
      </c>
      <c r="L2" t="s">
        <v>320</v>
      </c>
    </row>
    <row r="3" spans="1:14">
      <c r="H3" t="s">
        <v>316</v>
      </c>
      <c r="I3" s="331">
        <v>46943</v>
      </c>
      <c r="L3" t="s">
        <v>317</v>
      </c>
      <c r="M3" t="s">
        <v>318</v>
      </c>
      <c r="N3" t="s">
        <v>323</v>
      </c>
    </row>
    <row r="4" spans="1:14" ht="57">
      <c r="H4" t="s">
        <v>319</v>
      </c>
      <c r="I4">
        <v>86141</v>
      </c>
      <c r="L4" t="s">
        <v>321</v>
      </c>
      <c r="M4" s="273">
        <f>(1.73%/9)*10</f>
        <v>1.922222222222222E-2</v>
      </c>
      <c r="N4" s="276" t="s">
        <v>322</v>
      </c>
    </row>
    <row r="5" spans="1:14">
      <c r="H5" t="s">
        <v>336</v>
      </c>
      <c r="I5">
        <f>I3/(I3+I4)</f>
        <v>0.35273210904391211</v>
      </c>
      <c r="L5" t="s">
        <v>316</v>
      </c>
      <c r="M5" s="331">
        <v>46943</v>
      </c>
    </row>
    <row r="6" spans="1:14">
      <c r="H6" t="s">
        <v>335</v>
      </c>
      <c r="I6">
        <f>I4/(I3+I4)</f>
        <v>0.64726789095608783</v>
      </c>
      <c r="J6">
        <f>I3/(I3+I4)</f>
        <v>0.35273210904391211</v>
      </c>
      <c r="L6" t="s">
        <v>319</v>
      </c>
      <c r="M6">
        <v>86141</v>
      </c>
    </row>
    <row r="7" spans="1:14">
      <c r="L7" t="s">
        <v>337</v>
      </c>
      <c r="M7">
        <v>1.1499999999999999</v>
      </c>
    </row>
    <row r="8" spans="1:14">
      <c r="D8" t="s">
        <v>342</v>
      </c>
      <c r="E8" s="84">
        <v>4.3900000000000002E-2</v>
      </c>
      <c r="L8" t="s">
        <v>338</v>
      </c>
      <c r="M8" s="320">
        <f>M6/M5</f>
        <v>1.8350126749462115</v>
      </c>
    </row>
    <row r="9" spans="1:14">
      <c r="D9" t="s">
        <v>344</v>
      </c>
      <c r="E9" s="272">
        <f>1.92%*0.7</f>
        <v>1.3439999999999999E-2</v>
      </c>
      <c r="M9" s="320">
        <f>M7*M8</f>
        <v>2.1102645761881429</v>
      </c>
    </row>
    <row r="10" spans="1:14" ht="42.75">
      <c r="D10" t="s">
        <v>343</v>
      </c>
      <c r="E10" s="272">
        <f>E9+E8</f>
        <v>5.7340000000000002E-2</v>
      </c>
      <c r="L10" t="s">
        <v>339</v>
      </c>
      <c r="M10" s="273">
        <v>6.6900000000000001E-2</v>
      </c>
      <c r="N10" s="332" t="s">
        <v>340</v>
      </c>
    </row>
    <row r="11" spans="1:14">
      <c r="L11" s="333" t="s">
        <v>341</v>
      </c>
      <c r="M11" s="334">
        <f>M4+M9*(M10-M4)</f>
        <v>0.11983494773803691</v>
      </c>
    </row>
    <row r="12" spans="1:14" ht="15" thickBot="1"/>
    <row r="13" spans="1:14" ht="38.25">
      <c r="A13" s="321" t="s">
        <v>325</v>
      </c>
      <c r="B13" s="322" t="s">
        <v>326</v>
      </c>
      <c r="C13" s="322" t="s">
        <v>327</v>
      </c>
      <c r="D13" s="322" t="s">
        <v>328</v>
      </c>
      <c r="E13" s="322" t="s">
        <v>329</v>
      </c>
      <c r="F13" s="322" t="s">
        <v>330</v>
      </c>
      <c r="G13" s="322" t="s">
        <v>331</v>
      </c>
      <c r="H13" s="322" t="s">
        <v>332</v>
      </c>
      <c r="I13" s="322" t="s">
        <v>333</v>
      </c>
      <c r="J13" s="322" t="s">
        <v>334</v>
      </c>
      <c r="K13" s="323"/>
    </row>
    <row r="14" spans="1:14" ht="15.75" thickBot="1">
      <c r="A14" s="324" t="s">
        <v>324</v>
      </c>
      <c r="B14" s="325">
        <v>737</v>
      </c>
      <c r="C14" s="326">
        <v>1.1460330270000001</v>
      </c>
      <c r="D14" s="327">
        <v>0.1054099317062</v>
      </c>
      <c r="E14" s="327">
        <v>0.55919353125616378</v>
      </c>
      <c r="F14" s="328">
        <v>4.6200000000000005E-2</v>
      </c>
      <c r="G14" s="328">
        <v>0.116864074</v>
      </c>
      <c r="H14" s="327">
        <v>3.2340000000000001E-2</v>
      </c>
      <c r="I14" s="328">
        <v>0.44080646874383622</v>
      </c>
      <c r="J14" s="329">
        <v>7.3200233139436702E-2</v>
      </c>
      <c r="K14" s="330"/>
    </row>
  </sheetData>
  <hyperlinks>
    <hyperlink ref="N10" r:id="rId1" xr:uid="{B66CD8CF-5543-4F53-B3D7-7B0233A44C73}"/>
  </hyperlinks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8196-3004-4C76-831B-F155676DEECE}">
  <dimension ref="A1:C22"/>
  <sheetViews>
    <sheetView rightToLeft="1" workbookViewId="0">
      <selection activeCell="B9" sqref="B9"/>
    </sheetView>
  </sheetViews>
  <sheetFormatPr defaultRowHeight="14.25"/>
  <cols>
    <col min="1" max="1" width="22.75" style="276" customWidth="1"/>
    <col min="2" max="2" width="6.75" bestFit="1" customWidth="1"/>
    <col min="3" max="3" width="24.5" style="276" customWidth="1"/>
  </cols>
  <sheetData>
    <row r="1" spans="1:3" ht="15.75">
      <c r="A1" s="434" t="s">
        <v>317</v>
      </c>
      <c r="B1" s="435" t="s">
        <v>355</v>
      </c>
      <c r="C1" s="426" t="s">
        <v>323</v>
      </c>
    </row>
    <row r="2" spans="1:3" ht="31.5">
      <c r="A2" s="436" t="s">
        <v>316</v>
      </c>
      <c r="B2" s="444">
        <v>45356</v>
      </c>
      <c r="C2" s="427" t="s">
        <v>402</v>
      </c>
    </row>
    <row r="3" spans="1:3" ht="31.5">
      <c r="A3" s="437" t="s">
        <v>346</v>
      </c>
      <c r="B3" s="445">
        <v>18649</v>
      </c>
      <c r="C3" s="428" t="s">
        <v>349</v>
      </c>
    </row>
    <row r="4" spans="1:3" ht="31.5">
      <c r="A4" s="437" t="s">
        <v>347</v>
      </c>
      <c r="B4" s="445">
        <f>4748+1211</f>
        <v>5959</v>
      </c>
      <c r="C4" s="428" t="s">
        <v>349</v>
      </c>
    </row>
    <row r="5" spans="1:3" ht="15.75">
      <c r="A5" s="437" t="s">
        <v>348</v>
      </c>
      <c r="B5" s="445">
        <v>72504</v>
      </c>
      <c r="C5" s="428" t="s">
        <v>345</v>
      </c>
    </row>
    <row r="6" spans="1:3" ht="15.75">
      <c r="A6" s="436" t="s">
        <v>319</v>
      </c>
      <c r="B6" s="444">
        <f>SUM(B3:B5)</f>
        <v>97112</v>
      </c>
      <c r="C6" s="429"/>
    </row>
    <row r="7" spans="1:3" ht="63">
      <c r="A7" s="437" t="s">
        <v>321</v>
      </c>
      <c r="B7" s="439">
        <f>(1.73%/9)*10</f>
        <v>1.922222222222222E-2</v>
      </c>
      <c r="C7" s="428" t="s">
        <v>322</v>
      </c>
    </row>
    <row r="8" spans="1:3" ht="15.75">
      <c r="A8" s="437" t="s">
        <v>337</v>
      </c>
      <c r="B8" s="438">
        <v>1.1499999999999999</v>
      </c>
      <c r="C8" s="428" t="s">
        <v>350</v>
      </c>
    </row>
    <row r="9" spans="1:3" ht="15.75">
      <c r="A9" s="437" t="s">
        <v>351</v>
      </c>
      <c r="B9" s="440">
        <f>B6/B2</f>
        <v>2.1411059176294205</v>
      </c>
      <c r="C9" s="428"/>
    </row>
    <row r="10" spans="1:3" ht="15.75">
      <c r="A10" s="437" t="s">
        <v>352</v>
      </c>
      <c r="B10" s="440">
        <f>B8*B9</f>
        <v>2.4622718052738333</v>
      </c>
      <c r="C10" s="428"/>
    </row>
    <row r="11" spans="1:3" ht="63">
      <c r="A11" s="437" t="s">
        <v>354</v>
      </c>
      <c r="B11" s="441">
        <v>6.6900000000000001E-2</v>
      </c>
      <c r="C11" s="428" t="s">
        <v>353</v>
      </c>
    </row>
    <row r="12" spans="1:3" ht="15.75">
      <c r="A12" s="442" t="s">
        <v>341</v>
      </c>
      <c r="B12" s="430">
        <f>B7+B10*(B11-B7)</f>
        <v>0.13661787018255575</v>
      </c>
      <c r="C12" s="431"/>
    </row>
    <row r="13" spans="1:3" ht="31.5">
      <c r="A13" s="437" t="s">
        <v>356</v>
      </c>
      <c r="B13" s="441">
        <v>4.3900000000000002E-2</v>
      </c>
      <c r="C13" s="428"/>
    </row>
    <row r="14" spans="1:3" ht="15.75">
      <c r="A14" s="437" t="s">
        <v>357</v>
      </c>
      <c r="B14" s="441">
        <v>1.1599999999999999E-2</v>
      </c>
      <c r="C14" s="428" t="s">
        <v>361</v>
      </c>
    </row>
    <row r="15" spans="1:3" ht="15.75">
      <c r="A15" s="437" t="s">
        <v>358</v>
      </c>
      <c r="B15" s="439">
        <f>B13-B14</f>
        <v>3.2300000000000002E-2</v>
      </c>
      <c r="C15" s="428"/>
    </row>
    <row r="16" spans="1:3" ht="15.75">
      <c r="A16" s="437" t="s">
        <v>321</v>
      </c>
      <c r="B16" s="439">
        <f>(1.73%/9)*10</f>
        <v>1.922222222222222E-2</v>
      </c>
      <c r="C16" s="428"/>
    </row>
    <row r="17" spans="1:3" ht="15.75">
      <c r="A17" s="442" t="s">
        <v>360</v>
      </c>
      <c r="B17" s="430">
        <f>B15+B16</f>
        <v>5.1522222222222219E-2</v>
      </c>
      <c r="C17" s="431" t="s">
        <v>359</v>
      </c>
    </row>
    <row r="18" spans="1:3" ht="15.75">
      <c r="A18" s="437" t="s">
        <v>329</v>
      </c>
      <c r="B18" s="439">
        <f>B2/(B2+B6)</f>
        <v>0.31835921048937305</v>
      </c>
      <c r="C18" s="428"/>
    </row>
    <row r="19" spans="1:3" ht="15.75">
      <c r="A19" s="437" t="s">
        <v>335</v>
      </c>
      <c r="B19" s="439">
        <f>-B18+1</f>
        <v>0.6816407895106269</v>
      </c>
      <c r="C19" s="428"/>
    </row>
    <row r="20" spans="1:3" ht="15.75">
      <c r="A20" s="437" t="s">
        <v>294</v>
      </c>
      <c r="B20" s="439">
        <f>B18*B12+B19*B17*(1-0.23)</f>
        <v>7.0535686429389191E-2</v>
      </c>
      <c r="C20" s="428"/>
    </row>
    <row r="21" spans="1:3" ht="15.75">
      <c r="A21" s="437" t="s">
        <v>366</v>
      </c>
      <c r="B21" s="439">
        <v>0.05</v>
      </c>
      <c r="C21" s="428"/>
    </row>
    <row r="22" spans="1:3" ht="16.5" thickBot="1">
      <c r="A22" s="443" t="s">
        <v>362</v>
      </c>
      <c r="B22" s="432">
        <f>B20+B21</f>
        <v>0.12053568642938919</v>
      </c>
      <c r="C22" s="433"/>
    </row>
  </sheetData>
  <hyperlinks>
    <hyperlink ref="C11" r:id="rId1" display="http://pages.stern.nyu.edu/~adamodar/New_Home_Page/datafile/ctryprem.html נלקח לפי דמודרן. מקור:" xr:uid="{11252909-2049-4815-B6FF-C0D894C1B11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0B08-5C5E-47FE-AE57-69E1EF9E930F}">
  <dimension ref="B1:XFB59"/>
  <sheetViews>
    <sheetView rightToLeft="1" topLeftCell="A42" zoomScale="104" workbookViewId="0">
      <selection activeCell="C21" sqref="C21:C50"/>
    </sheetView>
  </sheetViews>
  <sheetFormatPr defaultRowHeight="15"/>
  <cols>
    <col min="1" max="1" width="2.5" style="259" customWidth="1"/>
    <col min="2" max="2" width="21.25" style="259" bestFit="1" customWidth="1"/>
    <col min="3" max="3" width="8.75" style="259" bestFit="1" customWidth="1"/>
    <col min="4" max="4" width="3.875" style="259" customWidth="1"/>
    <col min="5" max="5" width="15.875" style="415" bestFit="1" customWidth="1"/>
    <col min="6" max="7" width="7" style="259" bestFit="1" customWidth="1"/>
    <col min="8" max="8" width="6.25" style="259" bestFit="1" customWidth="1"/>
    <col min="9" max="10" width="6.75" style="259" bestFit="1" customWidth="1"/>
    <col min="11" max="11" width="6.25" style="259" bestFit="1" customWidth="1"/>
    <col min="12" max="12" width="8.125" style="259" bestFit="1" customWidth="1"/>
    <col min="13" max="16" width="7.125" style="259" bestFit="1" customWidth="1"/>
    <col min="17" max="17" width="9" style="259"/>
    <col min="18" max="18" width="10.125" style="259" bestFit="1" customWidth="1"/>
    <col min="19" max="16384" width="9" style="259"/>
  </cols>
  <sheetData>
    <row r="1" spans="2:18 16375:16382" ht="11.25" customHeight="1" thickBot="1">
      <c r="XEU1" s="447">
        <v>17.306409153445713</v>
      </c>
      <c r="XEV1" s="459">
        <v>9.5000000000000001E-2</v>
      </c>
      <c r="XEW1" s="459">
        <v>0.1</v>
      </c>
      <c r="XEX1" s="459">
        <v>0.11</v>
      </c>
      <c r="XEY1" s="459">
        <v>0.115</v>
      </c>
      <c r="XEZ1" s="459">
        <v>0.121</v>
      </c>
      <c r="XFA1" s="459">
        <v>0.125</v>
      </c>
      <c r="XFB1" s="465">
        <v>0.13</v>
      </c>
    </row>
    <row r="2" spans="2:18 16375:16382" ht="32.25" thickBot="1">
      <c r="B2" s="339" t="s">
        <v>294</v>
      </c>
      <c r="C2" s="340">
        <v>0.121</v>
      </c>
      <c r="E2" s="416" t="s">
        <v>401</v>
      </c>
      <c r="F2" s="301">
        <v>2011</v>
      </c>
      <c r="G2" s="301">
        <v>2012</v>
      </c>
      <c r="H2" s="301">
        <v>2013</v>
      </c>
      <c r="I2" s="301">
        <v>2014</v>
      </c>
      <c r="J2" s="301">
        <v>2015</v>
      </c>
      <c r="K2" s="301">
        <v>2016</v>
      </c>
      <c r="L2" s="414" t="s">
        <v>261</v>
      </c>
      <c r="M2" s="301">
        <v>2017</v>
      </c>
      <c r="N2" s="301">
        <v>2018</v>
      </c>
      <c r="O2" s="301">
        <v>2019</v>
      </c>
      <c r="P2" s="302" t="s">
        <v>397</v>
      </c>
      <c r="XEU2" s="463">
        <v>1.4999999999999999E-2</v>
      </c>
      <c r="XEV2" s="453">
        <v>27.994402156351921</v>
      </c>
      <c r="XEW2" s="457">
        <v>23.443168265282431</v>
      </c>
      <c r="XEX2" s="457">
        <v>15.797534653928359</v>
      </c>
      <c r="XEY2" s="457">
        <v>12.557065668355454</v>
      </c>
      <c r="XEZ2" s="457">
        <v>9.0791206858458438</v>
      </c>
      <c r="XFA2" s="457">
        <v>6.975285807876821</v>
      </c>
      <c r="XFB2" s="458">
        <v>4.555483793160735</v>
      </c>
    </row>
    <row r="3" spans="2:18 16375:16382" ht="15.75">
      <c r="B3" s="310" t="s">
        <v>295</v>
      </c>
      <c r="C3" s="341">
        <f>SUM(M17:P17)</f>
        <v>123200.65736835627</v>
      </c>
      <c r="E3" s="417" t="s">
        <v>231</v>
      </c>
      <c r="F3" s="312">
        <v>119650</v>
      </c>
      <c r="G3" s="312">
        <v>136062</v>
      </c>
      <c r="H3" s="313">
        <v>130482</v>
      </c>
      <c r="I3" s="313">
        <v>136574</v>
      </c>
      <c r="J3" s="313">
        <v>164159</v>
      </c>
      <c r="K3" s="313">
        <v>196180</v>
      </c>
      <c r="L3" s="313">
        <v>93215</v>
      </c>
      <c r="M3" s="380">
        <f>L3+89271</f>
        <v>182486</v>
      </c>
      <c r="N3" s="314">
        <f>M3+((M3*N4))</f>
        <v>200734.6</v>
      </c>
      <c r="O3" s="314">
        <f>N3+((N3*O4))</f>
        <v>220808.06</v>
      </c>
      <c r="P3" s="315">
        <f>O3+((O3*P4))</f>
        <v>228536.34210000001</v>
      </c>
      <c r="R3" s="367">
        <v>189323.125</v>
      </c>
      <c r="XEU3" s="463">
        <v>0.02</v>
      </c>
      <c r="XEV3" s="453">
        <v>32.585439459997325</v>
      </c>
      <c r="XEW3" s="453">
        <v>27.462789307800254</v>
      </c>
      <c r="XEX3" s="457">
        <v>18.945932200041931</v>
      </c>
      <c r="XEY3" s="457">
        <v>15.369373689267331</v>
      </c>
      <c r="XEZ3" s="457">
        <v>11.552445890404599</v>
      </c>
      <c r="XFA3" s="457">
        <v>9.2544144158919934</v>
      </c>
      <c r="XFB3" s="458">
        <v>6.6213152688294725</v>
      </c>
    </row>
    <row r="4" spans="2:18 16375:16382" ht="15.75">
      <c r="B4" s="342" t="s">
        <v>364</v>
      </c>
      <c r="C4" s="308">
        <v>-97112</v>
      </c>
      <c r="E4" s="418" t="s">
        <v>259</v>
      </c>
      <c r="F4" s="295"/>
      <c r="G4" s="295">
        <f>G3/F3-1</f>
        <v>0.13716673631424992</v>
      </c>
      <c r="H4" s="295">
        <f t="shared" ref="H4:K4" si="0">H3/G3-1</f>
        <v>-4.1010715703135303E-2</v>
      </c>
      <c r="I4" s="295">
        <f t="shared" si="0"/>
        <v>4.6688432120905565E-2</v>
      </c>
      <c r="J4" s="295">
        <f t="shared" si="0"/>
        <v>0.20197841463236044</v>
      </c>
      <c r="K4" s="295">
        <f t="shared" si="0"/>
        <v>0.19506088609214234</v>
      </c>
      <c r="L4" s="295"/>
      <c r="M4" s="381">
        <v>-0.05</v>
      </c>
      <c r="N4" s="295">
        <v>0.1</v>
      </c>
      <c r="O4" s="295">
        <v>0.1</v>
      </c>
      <c r="P4" s="304">
        <v>3.5000000000000003E-2</v>
      </c>
      <c r="R4" s="369">
        <f>R3/K3-1</f>
        <v>-3.495195738607404E-2</v>
      </c>
      <c r="XEU4" s="463">
        <v>2.5000000000000001E-2</v>
      </c>
      <c r="XEV4" s="453">
        <v>37.828842633545804</v>
      </c>
      <c r="XEW4" s="453">
        <v>32.015096327410589</v>
      </c>
      <c r="XEX4" s="457">
        <v>22.461849902836644</v>
      </c>
      <c r="XEY4" s="457">
        <v>18.49144079980011</v>
      </c>
      <c r="XEZ4" s="457">
        <v>14.280859531446135</v>
      </c>
      <c r="XFA4" s="457">
        <v>11.75900826327628</v>
      </c>
      <c r="XFB4" s="458">
        <v>8.8815615312929452</v>
      </c>
    </row>
    <row r="5" spans="2:18 16375:16382" ht="15.75">
      <c r="B5" s="342" t="s">
        <v>363</v>
      </c>
      <c r="C5" s="306">
        <f>12247+1122</f>
        <v>13369</v>
      </c>
      <c r="E5" s="419" t="s">
        <v>16</v>
      </c>
      <c r="F5" s="292">
        <v>746</v>
      </c>
      <c r="G5" s="292">
        <v>9084</v>
      </c>
      <c r="H5" s="292">
        <v>7669</v>
      </c>
      <c r="I5" s="292">
        <v>6801</v>
      </c>
      <c r="J5" s="292">
        <v>5308</v>
      </c>
      <c r="K5" s="292">
        <v>5419</v>
      </c>
      <c r="L5" s="293">
        <f>3540-335</f>
        <v>3205</v>
      </c>
      <c r="M5" s="382">
        <f>M3*M6</f>
        <v>6387.01</v>
      </c>
      <c r="N5" s="294">
        <f>N3*N6</f>
        <v>8029.384</v>
      </c>
      <c r="O5" s="294">
        <f>O3*O6</f>
        <v>8832.3224000000009</v>
      </c>
      <c r="P5" s="303">
        <f>P3*P6</f>
        <v>9827.0627102999988</v>
      </c>
      <c r="R5" s="368"/>
      <c r="XEU5" s="463">
        <v>0.03</v>
      </c>
      <c r="XEV5" s="453">
        <v>43.875157646975062</v>
      </c>
      <c r="XEW5" s="453">
        <v>37.214236319204787</v>
      </c>
      <c r="XEX5" s="457">
        <v>26.414197791690256</v>
      </c>
      <c r="XEY5" s="457">
        <v>21.977930368710432</v>
      </c>
      <c r="XEZ5" s="460">
        <v>17.306409153445713</v>
      </c>
      <c r="XFA5" s="457">
        <v>14.524667124666992</v>
      </c>
      <c r="XFB5" s="458">
        <v>11.365384798570426</v>
      </c>
    </row>
    <row r="6" spans="2:18 16375:16382" ht="16.5" thickBot="1">
      <c r="B6" s="342" t="s">
        <v>296</v>
      </c>
      <c r="C6" s="308">
        <f>C4+C5</f>
        <v>-83743</v>
      </c>
      <c r="E6" s="418" t="s">
        <v>260</v>
      </c>
      <c r="F6" s="296">
        <f>F5/F3</f>
        <v>6.2348516506477228E-3</v>
      </c>
      <c r="G6" s="296">
        <f t="shared" ref="G6:K6" si="1">G5/G3</f>
        <v>6.676368126295365E-2</v>
      </c>
      <c r="H6" s="296">
        <f t="shared" si="1"/>
        <v>5.8774390337364542E-2</v>
      </c>
      <c r="I6" s="296">
        <f t="shared" si="1"/>
        <v>4.9797179551012635E-2</v>
      </c>
      <c r="J6" s="296">
        <f t="shared" si="1"/>
        <v>3.2334504961653028E-2</v>
      </c>
      <c r="K6" s="296">
        <f t="shared" si="1"/>
        <v>2.7622591497604241E-2</v>
      </c>
      <c r="L6" s="296">
        <f>L5/L3</f>
        <v>3.4382878292120368E-2</v>
      </c>
      <c r="M6" s="381">
        <v>3.5000000000000003E-2</v>
      </c>
      <c r="N6" s="295">
        <v>0.04</v>
      </c>
      <c r="O6" s="295">
        <v>0.04</v>
      </c>
      <c r="P6" s="304">
        <v>4.2999999999999997E-2</v>
      </c>
      <c r="XEU6" s="463">
        <v>3.5000000000000003E-2</v>
      </c>
      <c r="XEV6" s="453">
        <v>50.925112460255271</v>
      </c>
      <c r="XEW6" s="453">
        <v>43.209478430609849</v>
      </c>
      <c r="XEX6" s="453">
        <v>30.890261903814562</v>
      </c>
      <c r="XEY6" s="457">
        <v>25.89717160694412</v>
      </c>
      <c r="XEZ6" s="457">
        <v>20.680920799593675</v>
      </c>
      <c r="XFA6" s="457">
        <v>17.594901835731829</v>
      </c>
      <c r="XFB6" s="458">
        <v>14.10808670300095</v>
      </c>
    </row>
    <row r="7" spans="2:18 16375:16382" ht="26.25" thickBot="1">
      <c r="B7" s="343" t="s">
        <v>367</v>
      </c>
      <c r="C7" s="308">
        <v>-7250</v>
      </c>
      <c r="E7" s="420" t="s">
        <v>264</v>
      </c>
      <c r="F7" s="386">
        <f t="shared" ref="F7:J7" si="2">F8/F3</f>
        <v>0</v>
      </c>
      <c r="G7" s="386">
        <f t="shared" si="2"/>
        <v>0</v>
      </c>
      <c r="H7" s="386">
        <f t="shared" si="2"/>
        <v>0</v>
      </c>
      <c r="I7" s="386">
        <f t="shared" si="2"/>
        <v>-3.645642655263813E-2</v>
      </c>
      <c r="J7" s="386">
        <f t="shared" si="2"/>
        <v>-6.3322754159077482E-2</v>
      </c>
      <c r="K7" s="386">
        <f>K8/K3</f>
        <v>1.8503415230910389E-3</v>
      </c>
      <c r="L7" s="386">
        <f>L8/L3</f>
        <v>3.2183661427881778E-5</v>
      </c>
      <c r="M7" s="383">
        <v>0.23</v>
      </c>
      <c r="N7" s="297">
        <v>0.23</v>
      </c>
      <c r="O7" s="297">
        <v>0.23</v>
      </c>
      <c r="P7" s="305">
        <v>0.23</v>
      </c>
      <c r="R7" s="461" t="s">
        <v>395</v>
      </c>
      <c r="XEU7" s="463">
        <v>0.04</v>
      </c>
      <c r="XEV7" s="453">
        <v>59.252427018800333</v>
      </c>
      <c r="XEW7" s="453">
        <v>50.199848191528496</v>
      </c>
      <c r="XEX7" s="453">
        <v>36.002267144196111</v>
      </c>
      <c r="XEY7" s="453">
        <v>30.335714848365829</v>
      </c>
      <c r="XEZ7" s="457">
        <v>24.469017066954535</v>
      </c>
      <c r="XFA7" s="457">
        <v>21.023461075825068</v>
      </c>
      <c r="XFB7" s="458">
        <v>17.152813684110033</v>
      </c>
    </row>
    <row r="8" spans="2:18 16375:16382" ht="16.5" thickBot="1">
      <c r="B8" s="342" t="s">
        <v>82</v>
      </c>
      <c r="C8" s="344">
        <f>C3+C6+C7</f>
        <v>32207.657368356275</v>
      </c>
      <c r="E8" s="420" t="s">
        <v>368</v>
      </c>
      <c r="F8" s="292">
        <v>0</v>
      </c>
      <c r="G8" s="292">
        <v>0</v>
      </c>
      <c r="H8" s="292">
        <v>0</v>
      </c>
      <c r="I8" s="292">
        <v>-4979</v>
      </c>
      <c r="J8" s="292">
        <v>-10395</v>
      </c>
      <c r="K8" s="292">
        <v>363</v>
      </c>
      <c r="L8" s="292">
        <v>3</v>
      </c>
      <c r="M8" s="384">
        <f>-M5*M7</f>
        <v>-1469.0123000000001</v>
      </c>
      <c r="N8" s="300">
        <f t="shared" ref="N8:O8" si="3">-N5*N7</f>
        <v>-1846.7583200000001</v>
      </c>
      <c r="O8" s="300">
        <f t="shared" si="3"/>
        <v>-2031.4341520000003</v>
      </c>
      <c r="P8" s="308">
        <f>-P5*P7</f>
        <v>-2260.2244233689999</v>
      </c>
      <c r="R8" s="462">
        <f>M8+N8+O8+P8*4</f>
        <v>-14388.102465476</v>
      </c>
      <c r="XEU8" s="464">
        <v>4.4999999999999998E-2</v>
      </c>
      <c r="XEV8" s="454">
        <v>69.24030924618971</v>
      </c>
      <c r="XEW8" s="454">
        <v>58.456744051828075</v>
      </c>
      <c r="XEX8" s="454">
        <v>41.896969157817374</v>
      </c>
      <c r="XEY8" s="454">
        <v>35.404839093658715</v>
      </c>
      <c r="XEZ8" s="454">
        <v>28.752326499188705</v>
      </c>
      <c r="XFA8" s="466">
        <v>24.877530694139502</v>
      </c>
      <c r="XFB8" s="467">
        <v>20.552864284840958</v>
      </c>
    </row>
    <row r="9" spans="2:18 16375:16382" ht="30.75" thickBot="1">
      <c r="B9" s="342" t="s">
        <v>395</v>
      </c>
      <c r="C9" s="344">
        <f>-R8</f>
        <v>14388.102465476</v>
      </c>
      <c r="E9" s="421" t="s">
        <v>262</v>
      </c>
      <c r="F9" s="316">
        <f>F5-F8</f>
        <v>746</v>
      </c>
      <c r="G9" s="316">
        <f t="shared" ref="G9:L9" si="4">G5-G8</f>
        <v>9084</v>
      </c>
      <c r="H9" s="316">
        <f t="shared" si="4"/>
        <v>7669</v>
      </c>
      <c r="I9" s="316">
        <f t="shared" si="4"/>
        <v>11780</v>
      </c>
      <c r="J9" s="316">
        <f t="shared" si="4"/>
        <v>15703</v>
      </c>
      <c r="K9" s="316">
        <f t="shared" si="4"/>
        <v>5056</v>
      </c>
      <c r="L9" s="316">
        <f t="shared" si="4"/>
        <v>3202</v>
      </c>
      <c r="M9" s="385">
        <f>M5*(1-M7)</f>
        <v>4917.9976999999999</v>
      </c>
      <c r="N9" s="316">
        <f>N5*(1-N7)</f>
        <v>6182.6256800000001</v>
      </c>
      <c r="O9" s="316">
        <f>O5*(1-O7)</f>
        <v>6800.8882480000011</v>
      </c>
      <c r="P9" s="317">
        <f>P5*(1-P7)</f>
        <v>7566.8382869309989</v>
      </c>
    </row>
    <row r="10" spans="2:18 16375:16382">
      <c r="B10" s="342" t="s">
        <v>396</v>
      </c>
      <c r="C10" s="344">
        <f>C8+C9</f>
        <v>46595.759833832271</v>
      </c>
      <c r="E10" s="420" t="s">
        <v>6</v>
      </c>
      <c r="F10" s="292">
        <v>4751</v>
      </c>
      <c r="G10" s="292">
        <v>4372</v>
      </c>
      <c r="H10" s="292">
        <v>4263</v>
      </c>
      <c r="I10" s="292">
        <v>4515</v>
      </c>
      <c r="J10" s="292">
        <v>7228</v>
      </c>
      <c r="K10" s="292">
        <v>11145</v>
      </c>
      <c r="L10" s="306">
        <v>4810</v>
      </c>
      <c r="M10" s="298">
        <f>M3*M11</f>
        <v>6934.4679999999998</v>
      </c>
      <c r="N10" s="298">
        <f>N3*N11</f>
        <v>7627.9148000000005</v>
      </c>
      <c r="O10" s="298">
        <f>O3*O11</f>
        <v>8390.7062800000003</v>
      </c>
      <c r="P10" s="306">
        <f>P3*P11</f>
        <v>8387.2837550700006</v>
      </c>
    </row>
    <row r="11" spans="2:18 16375:16382">
      <c r="B11" s="342" t="s">
        <v>365</v>
      </c>
      <c r="C11" s="341">
        <f>164137100/100</f>
        <v>1641371</v>
      </c>
      <c r="E11" s="422" t="s">
        <v>291</v>
      </c>
      <c r="F11" s="299">
        <f t="shared" ref="F11:L11" si="5">F10/F3</f>
        <v>3.9707480150438783E-2</v>
      </c>
      <c r="G11" s="299">
        <f t="shared" si="5"/>
        <v>3.2132410224750482E-2</v>
      </c>
      <c r="H11" s="299">
        <f t="shared" si="5"/>
        <v>3.2671173035361198E-2</v>
      </c>
      <c r="I11" s="299">
        <f t="shared" si="5"/>
        <v>3.3059000981153074E-2</v>
      </c>
      <c r="J11" s="299">
        <f t="shared" si="5"/>
        <v>4.4030482641828961E-2</v>
      </c>
      <c r="K11" s="299">
        <f t="shared" si="5"/>
        <v>5.6810072382505863E-2</v>
      </c>
      <c r="L11" s="307">
        <f t="shared" si="5"/>
        <v>5.1601137156037119E-2</v>
      </c>
      <c r="M11" s="299">
        <v>3.7999999999999999E-2</v>
      </c>
      <c r="N11" s="299">
        <v>3.7999999999999999E-2</v>
      </c>
      <c r="O11" s="299">
        <v>3.7999999999999999E-2</v>
      </c>
      <c r="P11" s="307">
        <v>3.6700000000000003E-2</v>
      </c>
    </row>
    <row r="12" spans="2:18 16375:16382">
      <c r="B12" s="342" t="s">
        <v>297</v>
      </c>
      <c r="C12" s="446">
        <f>(1000*C10/C11)</f>
        <v>28.388316738770378</v>
      </c>
      <c r="E12" s="420" t="s">
        <v>46</v>
      </c>
      <c r="F12" s="300">
        <v>-636</v>
      </c>
      <c r="G12" s="300">
        <v>-982</v>
      </c>
      <c r="H12" s="300">
        <v>-2184</v>
      </c>
      <c r="I12" s="300">
        <v>-6418</v>
      </c>
      <c r="J12" s="300">
        <v>-5367</v>
      </c>
      <c r="K12" s="300">
        <v>-5054</v>
      </c>
      <c r="L12" s="311"/>
      <c r="M12" s="300">
        <v>-3572</v>
      </c>
      <c r="N12" s="300">
        <v>-3572</v>
      </c>
      <c r="O12" s="300">
        <v>-3572</v>
      </c>
      <c r="P12" s="308">
        <v>-3572</v>
      </c>
    </row>
    <row r="13" spans="2:18 16375:16382" ht="15.75" thickBot="1">
      <c r="B13" s="345" t="s">
        <v>298</v>
      </c>
      <c r="C13" s="346">
        <f>C12/27.5-1</f>
        <v>3.2302426864377454E-2</v>
      </c>
      <c r="E13" s="420" t="s">
        <v>216</v>
      </c>
      <c r="F13" s="292">
        <v>1711</v>
      </c>
      <c r="G13" s="292">
        <v>8294</v>
      </c>
      <c r="H13" s="292">
        <v>2737</v>
      </c>
      <c r="I13" s="292">
        <v>1946</v>
      </c>
      <c r="J13" s="292">
        <v>-32880</v>
      </c>
      <c r="K13" s="292">
        <v>11098</v>
      </c>
      <c r="L13" s="306"/>
      <c r="M13" s="298">
        <f>((M4*K3)/12)*0.7*0.38</f>
        <v>-217.43283333333332</v>
      </c>
      <c r="N13" s="298">
        <f t="shared" ref="N13:P13" si="6">((N4*L3)/12)*0.7*0.38</f>
        <v>206.62658333333331</v>
      </c>
      <c r="O13" s="298">
        <f t="shared" si="6"/>
        <v>404.51063333333337</v>
      </c>
      <c r="P13" s="306">
        <f t="shared" si="6"/>
        <v>155.73659383333336</v>
      </c>
    </row>
    <row r="14" spans="2:18 16375:16382">
      <c r="E14" s="423" t="s">
        <v>292</v>
      </c>
      <c r="F14" s="299">
        <f t="shared" ref="F14:J14" si="7">F13/F3</f>
        <v>1.4300041788549937E-2</v>
      </c>
      <c r="G14" s="299">
        <f t="shared" si="7"/>
        <v>6.0957504666990049E-2</v>
      </c>
      <c r="H14" s="299">
        <f t="shared" si="7"/>
        <v>2.0976073328121885E-2</v>
      </c>
      <c r="I14" s="299">
        <f t="shared" si="7"/>
        <v>1.424868569420241E-2</v>
      </c>
      <c r="J14" s="299">
        <f t="shared" si="7"/>
        <v>-0.20029361777301274</v>
      </c>
      <c r="K14" s="299">
        <f>K13/K3</f>
        <v>5.6570496482821898E-2</v>
      </c>
      <c r="L14" s="309"/>
      <c r="M14" s="299">
        <f>M13/M3</f>
        <v>-1.1915041884491594E-3</v>
      </c>
      <c r="N14" s="299">
        <f>N13/N3</f>
        <v>1.0293521063799329E-3</v>
      </c>
      <c r="O14" s="299">
        <f>O13/O3</f>
        <v>1.8319559228650139E-3</v>
      </c>
      <c r="P14" s="307">
        <f>P13/P3</f>
        <v>6.8145220319133369E-4</v>
      </c>
    </row>
    <row r="15" spans="2:18 16375:16382" ht="30">
      <c r="E15" s="424" t="s">
        <v>263</v>
      </c>
      <c r="F15" s="298">
        <f t="shared" ref="F15:J15" si="8">F9+F10+F12+F13</f>
        <v>6572</v>
      </c>
      <c r="G15" s="298">
        <f t="shared" si="8"/>
        <v>20768</v>
      </c>
      <c r="H15" s="298">
        <f t="shared" si="8"/>
        <v>12485</v>
      </c>
      <c r="I15" s="298">
        <f t="shared" si="8"/>
        <v>11823</v>
      </c>
      <c r="J15" s="298">
        <f t="shared" si="8"/>
        <v>-15316</v>
      </c>
      <c r="K15" s="298">
        <f>K9+K10+K12+K13</f>
        <v>22245</v>
      </c>
      <c r="L15" s="306">
        <f>L9+L10+L12+L13</f>
        <v>8012</v>
      </c>
      <c r="M15" s="298">
        <f>M9+M10+M12+M13</f>
        <v>8063.0328666666674</v>
      </c>
      <c r="N15" s="298">
        <f>N9+N10+N12+N13</f>
        <v>10445.167063333332</v>
      </c>
      <c r="O15" s="298">
        <f t="shared" ref="O15" si="9">O9+O10+O12+O13</f>
        <v>12024.105161333335</v>
      </c>
      <c r="P15" s="306">
        <f>P9+P10+P12+P13</f>
        <v>12537.858635834333</v>
      </c>
    </row>
    <row r="16" spans="2:18 16375:16382" ht="15.75" thickBot="1">
      <c r="E16" s="424"/>
      <c r="F16" s="293"/>
      <c r="G16" s="293"/>
      <c r="H16" s="293"/>
      <c r="I16" s="293"/>
      <c r="J16" s="293"/>
      <c r="K16" s="293"/>
      <c r="L16" s="311"/>
      <c r="M16" s="293">
        <v>0.5</v>
      </c>
      <c r="N16" s="293">
        <f>M16+1</f>
        <v>1.5</v>
      </c>
      <c r="O16" s="293">
        <f t="shared" ref="O16" si="10">N16+1</f>
        <v>2.5</v>
      </c>
      <c r="P16" s="311">
        <f>O16+1</f>
        <v>3.5</v>
      </c>
    </row>
    <row r="17" spans="2:16" ht="15.75" thickBot="1">
      <c r="E17" s="425" t="s">
        <v>315</v>
      </c>
      <c r="F17" s="318"/>
      <c r="G17" s="318"/>
      <c r="H17" s="318"/>
      <c r="I17" s="318"/>
      <c r="J17" s="318"/>
      <c r="K17" s="318"/>
      <c r="L17" s="318"/>
      <c r="M17" s="387">
        <f>M15/($C$2+1)^M16</f>
        <v>7615.450924422652</v>
      </c>
      <c r="N17" s="387">
        <f>N15/($C$2+1)^N16</f>
        <v>8800.4923899333062</v>
      </c>
      <c r="O17" s="387">
        <f>O15/($C$2+1)^O16</f>
        <v>9037.3007312416867</v>
      </c>
      <c r="P17" s="319">
        <f>P15/($C$2-P4)/(C2+1)^P16</f>
        <v>97747.413322758628</v>
      </c>
    </row>
    <row r="19" spans="2:16" ht="15.75" thickBot="1">
      <c r="D19" s="337"/>
      <c r="L19" s="19"/>
      <c r="M19" s="19"/>
    </row>
    <row r="20" spans="2:16" ht="15.75">
      <c r="E20" s="447">
        <f>C12</f>
        <v>28.388316738770378</v>
      </c>
      <c r="F20" s="459">
        <v>9.5000000000000001E-2</v>
      </c>
      <c r="G20" s="459">
        <v>0.1</v>
      </c>
      <c r="H20" s="459">
        <v>0.11</v>
      </c>
      <c r="I20" s="459">
        <v>0.115</v>
      </c>
      <c r="J20" s="459">
        <v>0.121</v>
      </c>
      <c r="K20" s="459">
        <v>0.125</v>
      </c>
      <c r="L20" s="465">
        <v>0.13</v>
      </c>
    </row>
    <row r="21" spans="2:16" ht="15.75">
      <c r="D21" s="266"/>
      <c r="E21" s="463">
        <v>1.4999999999999999E-2</v>
      </c>
      <c r="F21" s="453">
        <f t="dataTable" ref="F21:L27" dt2D="1" dtr="1" r1="C2" r2="P4"/>
        <v>36.605706047820384</v>
      </c>
      <c r="G21" s="457">
        <v>31.53051896982797</v>
      </c>
      <c r="H21" s="457">
        <v>23.005244972650427</v>
      </c>
      <c r="I21" s="457">
        <v>19.392214377557842</v>
      </c>
      <c r="J21" s="457">
        <v>15.514617200119075</v>
      </c>
      <c r="K21" s="457">
        <v>13.169152793383097</v>
      </c>
      <c r="L21" s="458">
        <v>10.471563181659141</v>
      </c>
    </row>
    <row r="22" spans="2:16" ht="15.75">
      <c r="C22" s="336"/>
      <c r="E22" s="463">
        <v>0.02</v>
      </c>
      <c r="F22" s="453">
        <v>41.706006449562629</v>
      </c>
      <c r="G22" s="453">
        <v>35.99496959679071</v>
      </c>
      <c r="H22" s="457">
        <v>26.500440001453981</v>
      </c>
      <c r="I22" s="457">
        <v>22.513587163193055</v>
      </c>
      <c r="J22" s="457">
        <v>18.259010076388975</v>
      </c>
      <c r="K22" s="457">
        <v>15.697613160033567</v>
      </c>
      <c r="L22" s="458">
        <v>12.762883577273824</v>
      </c>
    </row>
    <row r="23" spans="2:16" ht="15.75">
      <c r="C23" s="266"/>
      <c r="E23" s="463">
        <v>2.5000000000000001E-2</v>
      </c>
      <c r="F23" s="453">
        <v>47.531119857056062</v>
      </c>
      <c r="G23" s="453">
        <v>41.051132392483964</v>
      </c>
      <c r="H23" s="457">
        <v>30.403703932295141</v>
      </c>
      <c r="I23" s="457">
        <v>25.978822551511747</v>
      </c>
      <c r="J23" s="457">
        <v>21.286505402115754</v>
      </c>
      <c r="K23" s="457">
        <v>18.476258627200689</v>
      </c>
      <c r="L23" s="458">
        <v>15.269890738043832</v>
      </c>
    </row>
    <row r="24" spans="2:16" ht="15.75">
      <c r="C24" s="335"/>
      <c r="E24" s="463">
        <v>0.03</v>
      </c>
      <c r="F24" s="453">
        <v>54.248310810089471</v>
      </c>
      <c r="G24" s="453">
        <v>46.825802821635747</v>
      </c>
      <c r="H24" s="457">
        <v>34.791549684305956</v>
      </c>
      <c r="I24" s="457">
        <v>29.84860217828162</v>
      </c>
      <c r="J24" s="460">
        <v>24.64376841622089</v>
      </c>
      <c r="K24" s="457">
        <v>21.544592105492391</v>
      </c>
      <c r="L24" s="458">
        <v>18.024937678742457</v>
      </c>
    </row>
    <row r="25" spans="2:16" ht="15.75">
      <c r="C25" s="266"/>
      <c r="E25" s="463">
        <v>3.5000000000000003E-2</v>
      </c>
      <c r="F25" s="453">
        <v>62.080598695047776</v>
      </c>
      <c r="G25" s="453">
        <v>53.484790338121037</v>
      </c>
      <c r="H25" s="453">
        <v>39.760893621720385</v>
      </c>
      <c r="I25" s="457">
        <v>34.198778088212229</v>
      </c>
      <c r="J25" s="457">
        <v>28.388316738770378</v>
      </c>
      <c r="K25" s="457">
        <v>24.950894930096084</v>
      </c>
      <c r="L25" s="458">
        <v>21.067188575147885</v>
      </c>
    </row>
    <row r="26" spans="2:16" ht="15.75">
      <c r="E26" s="463">
        <v>0.04</v>
      </c>
      <c r="F26" s="453">
        <v>71.332100857001478</v>
      </c>
      <c r="G26" s="453">
        <v>61.249174213773237</v>
      </c>
      <c r="H26" s="453">
        <v>45.436342498553486</v>
      </c>
      <c r="I26" s="453">
        <v>39.125429537935759</v>
      </c>
      <c r="J26" s="457">
        <v>32.591869871327965</v>
      </c>
      <c r="K26" s="457">
        <v>28.754808750360922</v>
      </c>
      <c r="L26" s="458">
        <v>24.444510753211311</v>
      </c>
    </row>
    <row r="27" spans="2:16" ht="16.5" thickBot="1">
      <c r="E27" s="464">
        <v>4.4999999999999998E-2</v>
      </c>
      <c r="F27" s="454">
        <v>82.428581579049151</v>
      </c>
      <c r="G27" s="454">
        <v>70.420426182910631</v>
      </c>
      <c r="H27" s="454">
        <v>51.980843608517262</v>
      </c>
      <c r="I27" s="454">
        <v>44.752087000264979</v>
      </c>
      <c r="J27" s="454">
        <v>37.345020868500534</v>
      </c>
      <c r="K27" s="466">
        <v>33.030885627973412</v>
      </c>
      <c r="L27" s="467">
        <v>28.216034439107613</v>
      </c>
    </row>
    <row r="29" spans="2:16" ht="15.75" thickBot="1">
      <c r="B29" s="338" t="s">
        <v>299</v>
      </c>
    </row>
    <row r="30" spans="2:16" ht="15.75" thickBot="1">
      <c r="B30" s="267" t="s">
        <v>300</v>
      </c>
    </row>
    <row r="33" spans="2:16" ht="15.75" thickBot="1"/>
    <row r="34" spans="2:16" ht="32.25" thickBot="1">
      <c r="B34" s="339" t="s">
        <v>294</v>
      </c>
      <c r="C34" s="340">
        <v>0.13600000000000001</v>
      </c>
      <c r="E34" s="416" t="s">
        <v>401</v>
      </c>
      <c r="F34" s="301">
        <v>2011</v>
      </c>
      <c r="G34" s="301">
        <v>2012</v>
      </c>
      <c r="H34" s="301">
        <v>2013</v>
      </c>
      <c r="I34" s="301">
        <v>2014</v>
      </c>
      <c r="J34" s="301">
        <v>2015</v>
      </c>
      <c r="K34" s="301">
        <v>2016</v>
      </c>
      <c r="L34" s="414" t="s">
        <v>261</v>
      </c>
      <c r="M34" s="301">
        <v>2017</v>
      </c>
      <c r="N34" s="301">
        <v>2018</v>
      </c>
      <c r="O34" s="301">
        <v>2019</v>
      </c>
      <c r="P34" s="302" t="s">
        <v>397</v>
      </c>
    </row>
    <row r="35" spans="2:16" ht="15.75">
      <c r="B35" s="310" t="s">
        <v>295</v>
      </c>
      <c r="C35" s="341">
        <f>SUM(M49:P49)</f>
        <v>102285.27913775241</v>
      </c>
      <c r="E35" s="417" t="s">
        <v>231</v>
      </c>
      <c r="F35" s="312">
        <v>119650</v>
      </c>
      <c r="G35" s="312">
        <v>136062</v>
      </c>
      <c r="H35" s="313">
        <v>130482</v>
      </c>
      <c r="I35" s="313">
        <v>136574</v>
      </c>
      <c r="J35" s="313">
        <v>164159</v>
      </c>
      <c r="K35" s="313">
        <v>196180</v>
      </c>
      <c r="L35" s="313">
        <v>93215</v>
      </c>
      <c r="M35" s="380">
        <f>L35+89271</f>
        <v>182486</v>
      </c>
      <c r="N35" s="314">
        <f>M35+((M35*N36))</f>
        <v>191610.3</v>
      </c>
      <c r="O35" s="314">
        <f>N35+((N35*O36))</f>
        <v>203106.91799999998</v>
      </c>
      <c r="P35" s="315">
        <f>O35+((O35*P36))</f>
        <v>209200.12553999998</v>
      </c>
    </row>
    <row r="36" spans="2:16" ht="15.75">
      <c r="B36" s="342" t="s">
        <v>364</v>
      </c>
      <c r="C36" s="308">
        <v>-97112</v>
      </c>
      <c r="E36" s="418" t="s">
        <v>259</v>
      </c>
      <c r="F36" s="295"/>
      <c r="G36" s="295">
        <f>G35/F35-1</f>
        <v>0.13716673631424992</v>
      </c>
      <c r="H36" s="295">
        <f t="shared" ref="H36" si="11">H35/G35-1</f>
        <v>-4.1010715703135303E-2</v>
      </c>
      <c r="I36" s="295">
        <f t="shared" ref="I36" si="12">I35/H35-1</f>
        <v>4.6688432120905565E-2</v>
      </c>
      <c r="J36" s="295">
        <f t="shared" ref="J36" si="13">J35/I35-1</f>
        <v>0.20197841463236044</v>
      </c>
      <c r="K36" s="295">
        <f t="shared" ref="K36" si="14">K35/J35-1</f>
        <v>0.19506088609214234</v>
      </c>
      <c r="L36" s="295"/>
      <c r="M36" s="381">
        <v>-0.05</v>
      </c>
      <c r="N36" s="295">
        <v>0.05</v>
      </c>
      <c r="O36" s="295">
        <v>0.06</v>
      </c>
      <c r="P36" s="304">
        <v>0.03</v>
      </c>
    </row>
    <row r="37" spans="2:16" ht="15.75">
      <c r="B37" s="342" t="s">
        <v>363</v>
      </c>
      <c r="C37" s="306">
        <f>12247+1122</f>
        <v>13369</v>
      </c>
      <c r="E37" s="419" t="s">
        <v>16</v>
      </c>
      <c r="F37" s="292">
        <v>746</v>
      </c>
      <c r="G37" s="292">
        <v>9084</v>
      </c>
      <c r="H37" s="292">
        <v>7669</v>
      </c>
      <c r="I37" s="292">
        <v>6801</v>
      </c>
      <c r="J37" s="292">
        <v>5308</v>
      </c>
      <c r="K37" s="292">
        <v>5419</v>
      </c>
      <c r="L37" s="293">
        <f>3540-335</f>
        <v>3205</v>
      </c>
      <c r="M37" s="382">
        <f>M35*M38</f>
        <v>6387.01</v>
      </c>
      <c r="N37" s="294">
        <f>N35*N38</f>
        <v>7664.4119999999994</v>
      </c>
      <c r="O37" s="294">
        <f>O35*O38</f>
        <v>8124.2767199999989</v>
      </c>
      <c r="P37" s="303">
        <f>P35*P38</f>
        <v>8995.6053982199992</v>
      </c>
    </row>
    <row r="38" spans="2:16" ht="15.75">
      <c r="B38" s="342" t="s">
        <v>296</v>
      </c>
      <c r="C38" s="308">
        <f>C36+C37</f>
        <v>-83743</v>
      </c>
      <c r="E38" s="418" t="s">
        <v>260</v>
      </c>
      <c r="F38" s="296">
        <f>F37/F35</f>
        <v>6.2348516506477228E-3</v>
      </c>
      <c r="G38" s="296">
        <f t="shared" ref="G38:K38" si="15">G37/G35</f>
        <v>6.676368126295365E-2</v>
      </c>
      <c r="H38" s="296">
        <f t="shared" si="15"/>
        <v>5.8774390337364542E-2</v>
      </c>
      <c r="I38" s="296">
        <f t="shared" si="15"/>
        <v>4.9797179551012635E-2</v>
      </c>
      <c r="J38" s="296">
        <f t="shared" si="15"/>
        <v>3.2334504961653028E-2</v>
      </c>
      <c r="K38" s="296">
        <f t="shared" si="15"/>
        <v>2.7622591497604241E-2</v>
      </c>
      <c r="L38" s="296">
        <f>L37/L35</f>
        <v>3.4382878292120368E-2</v>
      </c>
      <c r="M38" s="381">
        <v>3.5000000000000003E-2</v>
      </c>
      <c r="N38" s="295">
        <v>0.04</v>
      </c>
      <c r="O38" s="295">
        <v>0.04</v>
      </c>
      <c r="P38" s="304">
        <v>4.2999999999999997E-2</v>
      </c>
    </row>
    <row r="39" spans="2:16" ht="25.5">
      <c r="B39" s="343" t="s">
        <v>367</v>
      </c>
      <c r="C39" s="308"/>
      <c r="E39" s="420" t="s">
        <v>264</v>
      </c>
      <c r="F39" s="386">
        <f t="shared" ref="F39:J39" si="16">F40/F35</f>
        <v>0</v>
      </c>
      <c r="G39" s="386">
        <f t="shared" si="16"/>
        <v>0</v>
      </c>
      <c r="H39" s="386">
        <f t="shared" si="16"/>
        <v>0</v>
      </c>
      <c r="I39" s="386">
        <f t="shared" si="16"/>
        <v>-3.645642655263813E-2</v>
      </c>
      <c r="J39" s="386">
        <f t="shared" si="16"/>
        <v>-6.3322754159077482E-2</v>
      </c>
      <c r="K39" s="386">
        <f>K40/K35</f>
        <v>1.8503415230910389E-3</v>
      </c>
      <c r="L39" s="386">
        <f>L40/L35</f>
        <v>3.2183661427881778E-5</v>
      </c>
      <c r="M39" s="383">
        <v>0.23</v>
      </c>
      <c r="N39" s="297">
        <v>0.23</v>
      </c>
      <c r="O39" s="297">
        <v>0.23</v>
      </c>
      <c r="P39" s="305">
        <v>0.23</v>
      </c>
    </row>
    <row r="40" spans="2:16">
      <c r="B40" s="342" t="s">
        <v>82</v>
      </c>
      <c r="C40" s="344">
        <f>C35+C38+C39</f>
        <v>18542.279137752412</v>
      </c>
      <c r="E40" s="420" t="s">
        <v>368</v>
      </c>
      <c r="F40" s="292">
        <v>0</v>
      </c>
      <c r="G40" s="292">
        <v>0</v>
      </c>
      <c r="H40" s="292">
        <v>0</v>
      </c>
      <c r="I40" s="292">
        <v>-4979</v>
      </c>
      <c r="J40" s="292">
        <v>-10395</v>
      </c>
      <c r="K40" s="292">
        <v>363</v>
      </c>
      <c r="L40" s="292">
        <v>3</v>
      </c>
      <c r="M40" s="384">
        <f>-M37*M39</f>
        <v>-1469.0123000000001</v>
      </c>
      <c r="N40" s="300">
        <f t="shared" ref="N40:O40" si="17">-N37*N39</f>
        <v>-1762.81476</v>
      </c>
      <c r="O40" s="300">
        <f t="shared" si="17"/>
        <v>-1868.5836455999997</v>
      </c>
      <c r="P40" s="308">
        <f>-P37*P39</f>
        <v>-2068.9892415905997</v>
      </c>
    </row>
    <row r="41" spans="2:16" ht="30.75" thickBot="1">
      <c r="B41" s="342" t="s">
        <v>395</v>
      </c>
      <c r="C41" s="344"/>
      <c r="E41" s="421" t="s">
        <v>262</v>
      </c>
      <c r="F41" s="316">
        <f>F37-F40</f>
        <v>746</v>
      </c>
      <c r="G41" s="316">
        <f t="shared" ref="G41:L41" si="18">G37-G40</f>
        <v>9084</v>
      </c>
      <c r="H41" s="316">
        <f t="shared" si="18"/>
        <v>7669</v>
      </c>
      <c r="I41" s="316">
        <f t="shared" si="18"/>
        <v>11780</v>
      </c>
      <c r="J41" s="316">
        <f t="shared" si="18"/>
        <v>15703</v>
      </c>
      <c r="K41" s="316">
        <f t="shared" si="18"/>
        <v>5056</v>
      </c>
      <c r="L41" s="316">
        <f t="shared" si="18"/>
        <v>3202</v>
      </c>
      <c r="M41" s="385">
        <f>M37*(1-M39)</f>
        <v>4917.9976999999999</v>
      </c>
      <c r="N41" s="316">
        <f>N37*(1-N39)</f>
        <v>5901.5972400000001</v>
      </c>
      <c r="O41" s="316">
        <f>O37*(1-O39)</f>
        <v>6255.6930743999992</v>
      </c>
      <c r="P41" s="317">
        <f>P37*(1-P39)</f>
        <v>6926.6161566293995</v>
      </c>
    </row>
    <row r="42" spans="2:16">
      <c r="B42" s="342" t="s">
        <v>396</v>
      </c>
      <c r="C42" s="344">
        <f>C40+C41</f>
        <v>18542.279137752412</v>
      </c>
      <c r="E42" s="420" t="s">
        <v>6</v>
      </c>
      <c r="F42" s="292">
        <v>4751</v>
      </c>
      <c r="G42" s="292">
        <v>4372</v>
      </c>
      <c r="H42" s="292">
        <v>4263</v>
      </c>
      <c r="I42" s="292">
        <v>4515</v>
      </c>
      <c r="J42" s="292">
        <v>7228</v>
      </c>
      <c r="K42" s="292">
        <v>11145</v>
      </c>
      <c r="L42" s="306">
        <v>4810</v>
      </c>
      <c r="M42" s="298">
        <f>M35*M43</f>
        <v>6934.4679999999998</v>
      </c>
      <c r="N42" s="298">
        <f>N35*N43</f>
        <v>7281.1913999999997</v>
      </c>
      <c r="O42" s="298">
        <f>O35*O43</f>
        <v>7718.062883999999</v>
      </c>
      <c r="P42" s="306">
        <f>P35*P43</f>
        <v>7677.6446073179995</v>
      </c>
    </row>
    <row r="43" spans="2:16">
      <c r="B43" s="342" t="s">
        <v>365</v>
      </c>
      <c r="C43" s="341">
        <f>164137100/100</f>
        <v>1641371</v>
      </c>
      <c r="E43" s="422" t="s">
        <v>291</v>
      </c>
      <c r="F43" s="299">
        <f t="shared" ref="F43:L43" si="19">F42/F35</f>
        <v>3.9707480150438783E-2</v>
      </c>
      <c r="G43" s="299">
        <f t="shared" si="19"/>
        <v>3.2132410224750482E-2</v>
      </c>
      <c r="H43" s="299">
        <f t="shared" si="19"/>
        <v>3.2671173035361198E-2</v>
      </c>
      <c r="I43" s="299">
        <f t="shared" si="19"/>
        <v>3.3059000981153074E-2</v>
      </c>
      <c r="J43" s="299">
        <f t="shared" si="19"/>
        <v>4.4030482641828961E-2</v>
      </c>
      <c r="K43" s="299">
        <f t="shared" si="19"/>
        <v>5.6810072382505863E-2</v>
      </c>
      <c r="L43" s="307">
        <f t="shared" si="19"/>
        <v>5.1601137156037119E-2</v>
      </c>
      <c r="M43" s="299">
        <v>3.7999999999999999E-2</v>
      </c>
      <c r="N43" s="299">
        <v>3.7999999999999999E-2</v>
      </c>
      <c r="O43" s="299">
        <v>3.7999999999999999E-2</v>
      </c>
      <c r="P43" s="307">
        <v>3.6700000000000003E-2</v>
      </c>
    </row>
    <row r="44" spans="2:16">
      <c r="B44" s="342" t="s">
        <v>297</v>
      </c>
      <c r="C44" s="446">
        <f>(1000*C42/C43)</f>
        <v>11.296823897676035</v>
      </c>
      <c r="E44" s="420" t="s">
        <v>46</v>
      </c>
      <c r="F44" s="300">
        <v>-636</v>
      </c>
      <c r="G44" s="300">
        <v>-982</v>
      </c>
      <c r="H44" s="300">
        <v>-2184</v>
      </c>
      <c r="I44" s="300">
        <v>-6418</v>
      </c>
      <c r="J44" s="300">
        <v>-5367</v>
      </c>
      <c r="K44" s="300">
        <v>-5054</v>
      </c>
      <c r="L44" s="311"/>
      <c r="M44" s="300">
        <v>-3572</v>
      </c>
      <c r="N44" s="300">
        <v>-3572</v>
      </c>
      <c r="O44" s="300">
        <v>-3572</v>
      </c>
      <c r="P44" s="308">
        <v>-3572</v>
      </c>
    </row>
    <row r="45" spans="2:16" ht="15.75" thickBot="1">
      <c r="B45" s="345" t="s">
        <v>298</v>
      </c>
      <c r="C45" s="346">
        <f>C44/27.5-1</f>
        <v>-0.58920640372087152</v>
      </c>
      <c r="E45" s="420" t="s">
        <v>216</v>
      </c>
      <c r="F45" s="292">
        <v>1711</v>
      </c>
      <c r="G45" s="292">
        <v>8294</v>
      </c>
      <c r="H45" s="292">
        <v>2737</v>
      </c>
      <c r="I45" s="292">
        <v>1946</v>
      </c>
      <c r="J45" s="292">
        <v>-32880</v>
      </c>
      <c r="K45" s="292">
        <v>11098</v>
      </c>
      <c r="L45" s="306"/>
      <c r="M45" s="298">
        <f>((M36*K35)/12)*0.7*0.38</f>
        <v>-217.43283333333332</v>
      </c>
      <c r="N45" s="298">
        <f t="shared" ref="N45" si="20">((N36*L35)/12)*0.7*0.38</f>
        <v>103.31329166666666</v>
      </c>
      <c r="O45" s="298">
        <f t="shared" ref="O45" si="21">((O36*M35)/12)*0.7*0.38</f>
        <v>242.70637999999997</v>
      </c>
      <c r="P45" s="306">
        <f t="shared" ref="P45" si="22">((P36*N35)/12)*0.7*0.38</f>
        <v>127.42084949999999</v>
      </c>
    </row>
    <row r="46" spans="2:16">
      <c r="E46" s="423" t="s">
        <v>292</v>
      </c>
      <c r="F46" s="299">
        <f t="shared" ref="F46:J46" si="23">F45/F35</f>
        <v>1.4300041788549937E-2</v>
      </c>
      <c r="G46" s="299">
        <f t="shared" si="23"/>
        <v>6.0957504666990049E-2</v>
      </c>
      <c r="H46" s="299">
        <f t="shared" si="23"/>
        <v>2.0976073328121885E-2</v>
      </c>
      <c r="I46" s="299">
        <f t="shared" si="23"/>
        <v>1.424868569420241E-2</v>
      </c>
      <c r="J46" s="299">
        <f t="shared" si="23"/>
        <v>-0.20029361777301274</v>
      </c>
      <c r="K46" s="299">
        <f>K45/K35</f>
        <v>5.6570496482821898E-2</v>
      </c>
      <c r="L46" s="309"/>
      <c r="M46" s="299">
        <f>M45/M35</f>
        <v>-1.1915041884491594E-3</v>
      </c>
      <c r="N46" s="299">
        <f>N45/N35</f>
        <v>5.3918443667520311E-4</v>
      </c>
      <c r="O46" s="299">
        <f>O45/O35</f>
        <v>1.1949685534591195E-3</v>
      </c>
      <c r="P46" s="307">
        <f>P45/P35</f>
        <v>6.090859131709104E-4</v>
      </c>
    </row>
    <row r="47" spans="2:16" ht="30">
      <c r="E47" s="424" t="s">
        <v>263</v>
      </c>
      <c r="F47" s="298">
        <f t="shared" ref="F47:J47" si="24">F41+F42+F44+F45</f>
        <v>6572</v>
      </c>
      <c r="G47" s="298">
        <f t="shared" si="24"/>
        <v>20768</v>
      </c>
      <c r="H47" s="298">
        <f t="shared" si="24"/>
        <v>12485</v>
      </c>
      <c r="I47" s="298">
        <f t="shared" si="24"/>
        <v>11823</v>
      </c>
      <c r="J47" s="298">
        <f t="shared" si="24"/>
        <v>-15316</v>
      </c>
      <c r="K47" s="298">
        <f>K41+K42+K44+K45</f>
        <v>22245</v>
      </c>
      <c r="L47" s="306">
        <f>L41+L42+L44+L45</f>
        <v>8012</v>
      </c>
      <c r="M47" s="298">
        <f>M41+M42+M44+M45</f>
        <v>8063.0328666666674</v>
      </c>
      <c r="N47" s="298">
        <f>N41+N42+N44+N45</f>
        <v>9714.1019316666661</v>
      </c>
      <c r="O47" s="298">
        <f t="shared" ref="O47" si="25">O41+O42+O44+O45</f>
        <v>10644.462338399997</v>
      </c>
      <c r="P47" s="306">
        <f>P41+P42+P44+P45</f>
        <v>11159.681613447399</v>
      </c>
    </row>
    <row r="48" spans="2:16" ht="15.75" thickBot="1">
      <c r="E48" s="424"/>
      <c r="F48" s="293"/>
      <c r="G48" s="293"/>
      <c r="H48" s="293"/>
      <c r="I48" s="293"/>
      <c r="J48" s="293"/>
      <c r="K48" s="293"/>
      <c r="L48" s="311"/>
      <c r="M48" s="293">
        <v>0.5</v>
      </c>
      <c r="N48" s="293">
        <f>M48+1</f>
        <v>1.5</v>
      </c>
      <c r="O48" s="293">
        <f t="shared" ref="O48" si="26">N48+1</f>
        <v>2.5</v>
      </c>
      <c r="P48" s="311">
        <f>O48+1</f>
        <v>3.5</v>
      </c>
    </row>
    <row r="49" spans="3:16" ht="15.75" thickBot="1">
      <c r="E49" s="425" t="s">
        <v>315</v>
      </c>
      <c r="F49" s="318"/>
      <c r="G49" s="318"/>
      <c r="H49" s="318"/>
      <c r="I49" s="318"/>
      <c r="J49" s="318"/>
      <c r="K49" s="318"/>
      <c r="L49" s="318"/>
      <c r="M49" s="387">
        <f>M47/($C$2+1)^M48</f>
        <v>7615.450924422652</v>
      </c>
      <c r="N49" s="387">
        <f>N47/($C$2+1)^N48</f>
        <v>8184.5392808286142</v>
      </c>
      <c r="O49" s="387">
        <f>O47/($C$2+1)^O48</f>
        <v>8000.3631025986251</v>
      </c>
      <c r="P49" s="319">
        <f>P47/($C$2-P36)/(C34+1)^P48</f>
        <v>78484.925829902524</v>
      </c>
    </row>
    <row r="51" spans="3:16" ht="15.75" thickBot="1">
      <c r="D51" s="337"/>
      <c r="L51" s="19"/>
      <c r="M51" s="19"/>
    </row>
    <row r="52" spans="3:16" ht="15.75">
      <c r="E52" s="447">
        <f>C44</f>
        <v>11.296823897676035</v>
      </c>
      <c r="F52" s="448">
        <v>0.115</v>
      </c>
      <c r="G52" s="459">
        <v>0.125</v>
      </c>
      <c r="H52" s="448">
        <v>0.13</v>
      </c>
      <c r="I52" s="459">
        <v>0.13600000000000001</v>
      </c>
      <c r="J52" s="448">
        <v>0.14000000000000001</v>
      </c>
      <c r="K52" s="459">
        <v>0.14499999999999999</v>
      </c>
      <c r="L52" s="449">
        <v>0.15</v>
      </c>
    </row>
    <row r="53" spans="3:16" ht="15.75">
      <c r="D53" s="266"/>
      <c r="E53" s="450">
        <v>0.01</v>
      </c>
      <c r="F53" s="453">
        <f t="dataTable" ref="F53:L59" dt2D="1" dtr="1" r1="C34" r2="P36"/>
        <v>3.9448256559606136</v>
      </c>
      <c r="G53" s="453">
        <v>2.6998498763979208</v>
      </c>
      <c r="H53" s="453">
        <v>2.0958169193898635</v>
      </c>
      <c r="I53" s="457">
        <v>1.3866711493783721</v>
      </c>
      <c r="J53" s="457">
        <v>0.92319045813706035</v>
      </c>
      <c r="K53" s="457">
        <v>0.35403363912722796</v>
      </c>
      <c r="L53" s="458">
        <v>-0.20404793547727279</v>
      </c>
    </row>
    <row r="54" spans="3:16" ht="15.75">
      <c r="C54" s="336"/>
      <c r="E54" s="450">
        <v>1.4999999999999999E-2</v>
      </c>
      <c r="F54" s="453">
        <v>6.2153073679694479</v>
      </c>
      <c r="G54" s="453">
        <v>4.9004757530865204</v>
      </c>
      <c r="H54" s="453">
        <v>4.2625503883180826</v>
      </c>
      <c r="I54" s="457">
        <v>3.5136143099799741</v>
      </c>
      <c r="J54" s="457">
        <v>3.0241276261941219</v>
      </c>
      <c r="K54" s="457">
        <v>2.4230353063714865</v>
      </c>
      <c r="L54" s="458">
        <v>1.8336396650913096</v>
      </c>
    </row>
    <row r="55" spans="3:16" ht="15.75">
      <c r="C55" s="266"/>
      <c r="E55" s="451">
        <v>0.02</v>
      </c>
      <c r="F55" s="453">
        <v>8.7105892494841441</v>
      </c>
      <c r="G55" s="453">
        <v>7.3189853799423572</v>
      </c>
      <c r="H55" s="453">
        <v>6.6438119234768527</v>
      </c>
      <c r="I55" s="453">
        <v>5.8511459023243573</v>
      </c>
      <c r="J55" s="457">
        <v>5.333078375246961</v>
      </c>
      <c r="K55" s="457">
        <v>4.6968886238379941</v>
      </c>
      <c r="L55" s="458">
        <v>4.0730785132409792</v>
      </c>
    </row>
    <row r="56" spans="3:16" ht="15.75">
      <c r="C56" s="335"/>
      <c r="E56" s="450">
        <v>2.5000000000000001E-2</v>
      </c>
      <c r="F56" s="453">
        <v>11.465796326989915</v>
      </c>
      <c r="G56" s="453">
        <v>9.9894230929289627</v>
      </c>
      <c r="H56" s="453">
        <v>9.2731215352146261</v>
      </c>
      <c r="I56" s="453">
        <v>8.4321703688712422</v>
      </c>
      <c r="J56" s="453">
        <v>7.8825448273261047</v>
      </c>
      <c r="K56" s="457">
        <v>7.2076016618738823</v>
      </c>
      <c r="L56" s="458">
        <v>6.5457922414062066</v>
      </c>
    </row>
    <row r="57" spans="3:16" ht="15.75">
      <c r="C57" s="266"/>
      <c r="E57" s="451">
        <v>0.03</v>
      </c>
      <c r="F57" s="453">
        <v>14.523773413012822</v>
      </c>
      <c r="G57" s="453">
        <v>12.953315499650378</v>
      </c>
      <c r="H57" s="453">
        <v>12.191366269121403</v>
      </c>
      <c r="I57" s="460">
        <v>11.296823897676035</v>
      </c>
      <c r="J57" s="453">
        <v>10.712172427985383</v>
      </c>
      <c r="K57" s="453">
        <v>9.994217231562077</v>
      </c>
      <c r="L57" s="458">
        <v>9.2902327528862951</v>
      </c>
    </row>
    <row r="58" spans="3:16" ht="15.75">
      <c r="E58" s="450">
        <v>3.5000000000000003E-2</v>
      </c>
      <c r="F58" s="453">
        <v>17.937329229968611</v>
      </c>
      <c r="G58" s="453">
        <v>16.261846558316144</v>
      </c>
      <c r="H58" s="453">
        <v>15.448941786040582</v>
      </c>
      <c r="I58" s="453">
        <v>14.494576674016264</v>
      </c>
      <c r="J58" s="453">
        <v>13.870826493837596</v>
      </c>
      <c r="K58" s="453">
        <v>13.104857867493083</v>
      </c>
      <c r="L58" s="455">
        <v>12.35379425407338</v>
      </c>
    </row>
    <row r="59" spans="3:16" ht="16.5" thickBot="1">
      <c r="E59" s="452">
        <v>0.04</v>
      </c>
      <c r="F59" s="454">
        <v>21.772311690993043</v>
      </c>
      <c r="G59" s="454">
        <v>19.978838241508548</v>
      </c>
      <c r="H59" s="454">
        <v>19.108687119863379</v>
      </c>
      <c r="I59" s="454">
        <v>18.087113743731841</v>
      </c>
      <c r="J59" s="454">
        <v>17.419437851770336</v>
      </c>
      <c r="K59" s="454">
        <v>16.599528211563733</v>
      </c>
      <c r="L59" s="456">
        <v>15.795573224542823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E741-0759-439A-B407-6D4467689A62}">
  <dimension ref="A1:H8"/>
  <sheetViews>
    <sheetView rightToLeft="1" workbookViewId="0">
      <selection activeCell="C8" sqref="C8"/>
    </sheetView>
  </sheetViews>
  <sheetFormatPr defaultRowHeight="14.25"/>
  <sheetData>
    <row r="1" spans="1:8" ht="15.75">
      <c r="A1" s="447">
        <v>28.388316738770399</v>
      </c>
      <c r="B1" s="459">
        <v>9.5000000000000001E-2</v>
      </c>
      <c r="C1" s="459">
        <v>0.1</v>
      </c>
      <c r="D1" s="459">
        <v>0.11</v>
      </c>
      <c r="E1" s="459">
        <v>0.115</v>
      </c>
      <c r="F1" s="459">
        <v>0.121</v>
      </c>
      <c r="G1" s="459">
        <v>0.125</v>
      </c>
      <c r="H1" s="465">
        <v>0.13</v>
      </c>
    </row>
    <row r="2" spans="1:8" ht="15.75">
      <c r="A2" s="463">
        <v>1.4999999999999999E-2</v>
      </c>
      <c r="B2" s="453">
        <v>36.605706047820384</v>
      </c>
      <c r="C2" s="457">
        <v>31.53051896982797</v>
      </c>
      <c r="D2" s="457">
        <v>23.005244972650427</v>
      </c>
      <c r="E2" s="457">
        <v>19.392214377557842</v>
      </c>
      <c r="F2" s="457">
        <v>15.514617200119075</v>
      </c>
      <c r="G2" s="457">
        <v>13.169152793383097</v>
      </c>
      <c r="H2" s="458">
        <v>10.471563181659141</v>
      </c>
    </row>
    <row r="3" spans="1:8" ht="15.75">
      <c r="A3" s="463">
        <v>0.02</v>
      </c>
      <c r="B3" s="453">
        <v>41.706006449562629</v>
      </c>
      <c r="C3" s="453">
        <v>35.99496959679071</v>
      </c>
      <c r="D3" s="457">
        <v>26.500440001453981</v>
      </c>
      <c r="E3" s="457">
        <v>22.513587163193055</v>
      </c>
      <c r="F3" s="457">
        <v>18.259010076388975</v>
      </c>
      <c r="G3" s="457">
        <v>15.697613160033567</v>
      </c>
      <c r="H3" s="458">
        <v>12.762883577273824</v>
      </c>
    </row>
    <row r="4" spans="1:8" ht="15.75">
      <c r="A4" s="463">
        <v>2.5000000000000001E-2</v>
      </c>
      <c r="B4" s="453">
        <v>47.531119857056062</v>
      </c>
      <c r="C4" s="453">
        <v>41.051132392483964</v>
      </c>
      <c r="D4" s="457">
        <v>30.403703932295141</v>
      </c>
      <c r="E4" s="457">
        <v>25.978822551511747</v>
      </c>
      <c r="F4" s="457">
        <v>21.286505402115754</v>
      </c>
      <c r="G4" s="457">
        <v>18.476258627200689</v>
      </c>
      <c r="H4" s="458">
        <v>15.269890738043832</v>
      </c>
    </row>
    <row r="5" spans="1:8" ht="15.75">
      <c r="A5" s="463">
        <v>0.03</v>
      </c>
      <c r="B5" s="453">
        <v>54.248310810089471</v>
      </c>
      <c r="C5" s="453">
        <v>46.825802821635747</v>
      </c>
      <c r="D5" s="457">
        <v>34.791549684305956</v>
      </c>
      <c r="E5" s="457">
        <v>29.84860217828162</v>
      </c>
      <c r="F5" s="460">
        <v>24.64376841622089</v>
      </c>
      <c r="G5" s="457">
        <v>21.544592105492391</v>
      </c>
      <c r="H5" s="458">
        <v>18.024937678742457</v>
      </c>
    </row>
    <row r="6" spans="1:8" ht="15.75">
      <c r="A6" s="463">
        <v>3.5000000000000003E-2</v>
      </c>
      <c r="B6" s="453">
        <v>62.080598695047776</v>
      </c>
      <c r="C6" s="453">
        <v>53.484790338121037</v>
      </c>
      <c r="D6" s="453">
        <v>39.760893621720385</v>
      </c>
      <c r="E6" s="457">
        <v>34.198778088212229</v>
      </c>
      <c r="F6" s="457">
        <v>28.388316738770378</v>
      </c>
      <c r="G6" s="457">
        <v>24.950894930096084</v>
      </c>
      <c r="H6" s="458">
        <v>21.067188575147885</v>
      </c>
    </row>
    <row r="7" spans="1:8" ht="15.75">
      <c r="A7" s="463">
        <v>0.04</v>
      </c>
      <c r="B7" s="453">
        <v>71.332100857001478</v>
      </c>
      <c r="C7" s="453">
        <v>61.249174213773237</v>
      </c>
      <c r="D7" s="453">
        <v>45.436342498553486</v>
      </c>
      <c r="E7" s="453">
        <v>39.125429537935759</v>
      </c>
      <c r="F7" s="457">
        <v>32.591869871327965</v>
      </c>
      <c r="G7" s="457">
        <v>28.754808750360922</v>
      </c>
      <c r="H7" s="458">
        <v>24.444510753211311</v>
      </c>
    </row>
    <row r="8" spans="1:8" ht="16.5" thickBot="1">
      <c r="A8" s="464">
        <v>4.4999999999999998E-2</v>
      </c>
      <c r="B8" s="454">
        <v>82.428581579049151</v>
      </c>
      <c r="C8" s="454">
        <v>70.420426182910631</v>
      </c>
      <c r="D8" s="454">
        <v>51.980843608517262</v>
      </c>
      <c r="E8" s="454">
        <v>44.752087000264979</v>
      </c>
      <c r="F8" s="454">
        <v>37.345020868500534</v>
      </c>
      <c r="G8" s="466">
        <v>33.030885627973412</v>
      </c>
      <c r="H8" s="467">
        <v>28.216034439107613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E5DB-25B4-4477-A038-AF709F5D7C7E}">
  <dimension ref="A1:H8"/>
  <sheetViews>
    <sheetView rightToLeft="1" workbookViewId="0"/>
  </sheetViews>
  <sheetFormatPr defaultRowHeight="14.25"/>
  <sheetData>
    <row r="1" spans="1:8" ht="15.75">
      <c r="A1" s="447">
        <v>17.306409153445713</v>
      </c>
      <c r="B1" s="459">
        <v>9.5000000000000001E-2</v>
      </c>
      <c r="C1" s="459">
        <v>0.1</v>
      </c>
      <c r="D1" s="459">
        <v>0.11</v>
      </c>
      <c r="E1" s="459">
        <v>0.115</v>
      </c>
      <c r="F1" s="459">
        <v>0.121</v>
      </c>
      <c r="G1" s="459">
        <v>0.125</v>
      </c>
      <c r="H1" s="465">
        <v>0.13</v>
      </c>
    </row>
    <row r="2" spans="1:8" ht="15.75">
      <c r="A2" s="463">
        <v>1.4999999999999999E-2</v>
      </c>
      <c r="B2" s="453">
        <v>27.994402156351921</v>
      </c>
      <c r="C2" s="457">
        <v>23.443168265282431</v>
      </c>
      <c r="D2" s="457">
        <v>15.797534653928359</v>
      </c>
      <c r="E2" s="457">
        <v>12.557065668355454</v>
      </c>
      <c r="F2" s="457">
        <v>9.0791206858458438</v>
      </c>
      <c r="G2" s="457">
        <v>6.975285807876821</v>
      </c>
      <c r="H2" s="458">
        <v>4.555483793160735</v>
      </c>
    </row>
    <row r="3" spans="1:8" ht="15.75">
      <c r="A3" s="463">
        <v>0.02</v>
      </c>
      <c r="B3" s="453">
        <v>32.585439459997325</v>
      </c>
      <c r="C3" s="453">
        <v>27.462789307800254</v>
      </c>
      <c r="D3" s="457">
        <v>18.945932200041931</v>
      </c>
      <c r="E3" s="457">
        <v>15.369373689267331</v>
      </c>
      <c r="F3" s="457">
        <v>11.552445890404599</v>
      </c>
      <c r="G3" s="457">
        <v>9.2544144158919934</v>
      </c>
      <c r="H3" s="458">
        <v>6.6213152688294725</v>
      </c>
    </row>
    <row r="4" spans="1:8" ht="15.75">
      <c r="A4" s="463">
        <v>2.5000000000000001E-2</v>
      </c>
      <c r="B4" s="453">
        <v>37.828842633545804</v>
      </c>
      <c r="C4" s="453">
        <v>32.015096327410589</v>
      </c>
      <c r="D4" s="457">
        <v>22.461849902836644</v>
      </c>
      <c r="E4" s="457">
        <v>18.49144079980011</v>
      </c>
      <c r="F4" s="457">
        <v>14.280859531446135</v>
      </c>
      <c r="G4" s="457">
        <v>11.75900826327628</v>
      </c>
      <c r="H4" s="458">
        <v>8.8815615312929452</v>
      </c>
    </row>
    <row r="5" spans="1:8" ht="15.75">
      <c r="A5" s="463">
        <v>0.03</v>
      </c>
      <c r="B5" s="453">
        <v>43.875157646975062</v>
      </c>
      <c r="C5" s="453">
        <v>37.214236319204787</v>
      </c>
      <c r="D5" s="457">
        <v>26.414197791690256</v>
      </c>
      <c r="E5" s="457">
        <v>21.977930368710432</v>
      </c>
      <c r="F5" s="460">
        <v>17.306409153445713</v>
      </c>
      <c r="G5" s="457">
        <v>14.524667124666992</v>
      </c>
      <c r="H5" s="458">
        <v>11.365384798570426</v>
      </c>
    </row>
    <row r="6" spans="1:8" ht="15.75">
      <c r="A6" s="463">
        <v>3.5000000000000003E-2</v>
      </c>
      <c r="B6" s="453">
        <v>50.925112460255271</v>
      </c>
      <c r="C6" s="453">
        <v>43.209478430609849</v>
      </c>
      <c r="D6" s="453">
        <v>30.890261903814562</v>
      </c>
      <c r="E6" s="457">
        <v>25.89717160694412</v>
      </c>
      <c r="F6" s="457">
        <v>20.680920799593675</v>
      </c>
      <c r="G6" s="457">
        <v>17.594901835731829</v>
      </c>
      <c r="H6" s="458">
        <v>14.10808670300095</v>
      </c>
    </row>
    <row r="7" spans="1:8" ht="15.75">
      <c r="A7" s="463">
        <v>0.04</v>
      </c>
      <c r="B7" s="453">
        <v>59.252427018800333</v>
      </c>
      <c r="C7" s="453">
        <v>50.199848191528496</v>
      </c>
      <c r="D7" s="453">
        <v>36.002267144196111</v>
      </c>
      <c r="E7" s="453">
        <v>30.335714848365829</v>
      </c>
      <c r="F7" s="457">
        <v>24.469017066954535</v>
      </c>
      <c r="G7" s="457">
        <v>21.023461075825068</v>
      </c>
      <c r="H7" s="458">
        <v>17.152813684110033</v>
      </c>
    </row>
    <row r="8" spans="1:8" ht="16.5" thickBot="1">
      <c r="A8" s="464">
        <v>4.4999999999999998E-2</v>
      </c>
      <c r="B8" s="454">
        <v>69.24030924618971</v>
      </c>
      <c r="C8" s="454">
        <v>58.456744051828075</v>
      </c>
      <c r="D8" s="454">
        <v>41.896969157817374</v>
      </c>
      <c r="E8" s="454">
        <v>35.404839093658715</v>
      </c>
      <c r="F8" s="454">
        <v>28.752326499188705</v>
      </c>
      <c r="G8" s="466">
        <v>24.877530694139502</v>
      </c>
      <c r="H8" s="467">
        <v>20.552864284840958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728C-B9D9-4F43-AA35-67E38FAFECB2}">
  <dimension ref="A1:V29"/>
  <sheetViews>
    <sheetView rightToLeft="1" zoomScale="72" workbookViewId="0"/>
  </sheetViews>
  <sheetFormatPr defaultRowHeight="14.25"/>
  <cols>
    <col min="1" max="1" width="11.75" bestFit="1" customWidth="1"/>
    <col min="2" max="2" width="26.375" bestFit="1" customWidth="1"/>
    <col min="7" max="7" width="17" bestFit="1" customWidth="1"/>
    <col min="8" max="8" width="9" customWidth="1"/>
    <col min="9" max="9" width="12.625" bestFit="1" customWidth="1"/>
    <col min="10" max="10" width="11.875" bestFit="1" customWidth="1"/>
    <col min="11" max="11" width="9.875" bestFit="1" customWidth="1"/>
    <col min="12" max="12" width="10.5" customWidth="1"/>
    <col min="13" max="13" width="14.625" customWidth="1"/>
    <col min="14" max="14" width="15" customWidth="1"/>
    <col min="15" max="15" width="5.875" bestFit="1" customWidth="1"/>
  </cols>
  <sheetData>
    <row r="1" spans="1:22" ht="20.25">
      <c r="A1" s="358"/>
      <c r="B1" s="358"/>
      <c r="C1" s="358"/>
      <c r="D1" s="358"/>
      <c r="E1" s="358"/>
      <c r="F1" s="358"/>
      <c r="G1" s="477" t="s">
        <v>383</v>
      </c>
      <c r="H1" s="477"/>
      <c r="I1" s="477"/>
      <c r="J1" s="477"/>
      <c r="K1" s="477"/>
      <c r="L1" s="477"/>
      <c r="M1" s="477"/>
      <c r="N1" s="477"/>
      <c r="R1" t="s">
        <v>371</v>
      </c>
    </row>
    <row r="2" spans="1:22" ht="60.75">
      <c r="A2" s="358"/>
      <c r="B2" s="358">
        <v>2013</v>
      </c>
      <c r="C2" s="358">
        <v>2014</v>
      </c>
      <c r="D2" s="358">
        <v>2015</v>
      </c>
      <c r="E2" s="358">
        <v>2016</v>
      </c>
      <c r="F2" s="358">
        <v>2017</v>
      </c>
      <c r="G2" s="359" t="s">
        <v>385</v>
      </c>
      <c r="H2" s="360">
        <v>2013</v>
      </c>
      <c r="I2" s="360">
        <v>2014</v>
      </c>
      <c r="J2" s="360">
        <v>2015</v>
      </c>
      <c r="K2" s="360">
        <v>2016</v>
      </c>
      <c r="L2" s="359" t="s">
        <v>387</v>
      </c>
      <c r="M2" s="361" t="s">
        <v>386</v>
      </c>
      <c r="N2" s="359" t="s">
        <v>384</v>
      </c>
      <c r="S2" t="s">
        <v>373</v>
      </c>
      <c r="T2" t="s">
        <v>374</v>
      </c>
      <c r="U2" t="s">
        <v>375</v>
      </c>
      <c r="V2" t="s">
        <v>376</v>
      </c>
    </row>
    <row r="3" spans="1:22" ht="20.25">
      <c r="A3" s="358" t="s">
        <v>372</v>
      </c>
      <c r="B3" s="358">
        <v>13000</v>
      </c>
      <c r="C3" s="358">
        <f>8759+8912</f>
        <v>17671</v>
      </c>
      <c r="D3" s="358">
        <f>7119+10295</f>
        <v>17414</v>
      </c>
      <c r="E3" s="358">
        <v>6900</v>
      </c>
      <c r="F3" s="358">
        <v>7900</v>
      </c>
      <c r="G3" s="362" t="s">
        <v>372</v>
      </c>
      <c r="H3" s="363">
        <f>F10/B3</f>
        <v>3.4334615384615383</v>
      </c>
      <c r="I3" s="363">
        <f>E10/C3</f>
        <v>2.6688925357931073</v>
      </c>
      <c r="J3" s="363">
        <f>D10/D3</f>
        <v>2.4715171700930285</v>
      </c>
      <c r="K3" s="363">
        <f>C10/E3</f>
        <v>5.4130434782608692</v>
      </c>
      <c r="L3" s="363">
        <f>0.55*K3+0.25*J3+0.1*I3+0.1*H3</f>
        <v>4.2052886129921996</v>
      </c>
      <c r="M3" s="363">
        <v>7900</v>
      </c>
      <c r="N3" s="364">
        <f>F3*L3</f>
        <v>33221.780042638376</v>
      </c>
      <c r="O3" s="243"/>
      <c r="P3">
        <v>93125</v>
      </c>
      <c r="S3">
        <f>15130+17500</f>
        <v>32630</v>
      </c>
      <c r="T3">
        <f>15530+16480</f>
        <v>32010</v>
      </c>
      <c r="U3">
        <v>29900</v>
      </c>
      <c r="V3">
        <v>29900</v>
      </c>
    </row>
    <row r="4" spans="1:22" ht="20.25">
      <c r="A4" s="358" t="s">
        <v>369</v>
      </c>
      <c r="B4" s="358">
        <v>1920</v>
      </c>
      <c r="C4" s="358">
        <f>592+716</f>
        <v>1308</v>
      </c>
      <c r="D4" s="358">
        <f>3220+2662</f>
        <v>5882</v>
      </c>
      <c r="E4" s="358">
        <v>4800</v>
      </c>
      <c r="F4" s="358">
        <f>1700+2000</f>
        <v>3700</v>
      </c>
      <c r="G4" s="362" t="s">
        <v>369</v>
      </c>
      <c r="H4" s="363">
        <f>F11/B4</f>
        <v>8.3703125000000007</v>
      </c>
      <c r="I4" s="363">
        <f>E11/C4</f>
        <v>8.9785932721712545</v>
      </c>
      <c r="J4" s="363">
        <f t="shared" ref="J4:J5" si="0">D11/D4</f>
        <v>2.2018021081264876</v>
      </c>
      <c r="K4" s="363">
        <f>C11/E4</f>
        <v>3.0091666666666668</v>
      </c>
      <c r="L4" s="363">
        <f>0.55*K4+0.25*J4+0.1*I4+0.1*H4</f>
        <v>3.9403827709154147</v>
      </c>
      <c r="M4" s="363">
        <f>1700+2000</f>
        <v>3700</v>
      </c>
      <c r="N4" s="364">
        <f>F4*L4</f>
        <v>14579.416252387035</v>
      </c>
      <c r="O4" s="243"/>
    </row>
    <row r="5" spans="1:22" ht="20.25">
      <c r="A5" s="358" t="s">
        <v>370</v>
      </c>
      <c r="B5" s="358" t="s">
        <v>209</v>
      </c>
      <c r="C5" s="358">
        <f>321+311</f>
        <v>632</v>
      </c>
      <c r="D5" s="358">
        <f>583+564</f>
        <v>1147</v>
      </c>
      <c r="E5" s="358">
        <v>850</v>
      </c>
      <c r="F5" s="358">
        <f>900</f>
        <v>900</v>
      </c>
      <c r="G5" s="362" t="s">
        <v>370</v>
      </c>
      <c r="H5" s="363"/>
      <c r="I5" s="363">
        <f>E12/C5</f>
        <v>10.734177215189874</v>
      </c>
      <c r="J5" s="363">
        <f t="shared" si="0"/>
        <v>5.1874455100261549</v>
      </c>
      <c r="K5" s="363">
        <f>C12/E5</f>
        <v>5.0705882352941174</v>
      </c>
      <c r="L5" s="363">
        <f>0.55*K5+0.25*J5+0.1*I5+0.1*H5</f>
        <v>5.1591026284372914</v>
      </c>
      <c r="M5" s="363">
        <f>900</f>
        <v>900</v>
      </c>
      <c r="N5" s="364">
        <f>F5*L5</f>
        <v>4643.1923655935625</v>
      </c>
      <c r="O5" s="243"/>
    </row>
    <row r="6" spans="1:22" ht="20.25">
      <c r="A6" s="358" t="s">
        <v>371</v>
      </c>
      <c r="B6" s="358" t="s">
        <v>209</v>
      </c>
      <c r="C6" s="358" t="s">
        <v>209</v>
      </c>
      <c r="D6" s="358" t="s">
        <v>209</v>
      </c>
      <c r="E6" s="358">
        <v>7000</v>
      </c>
      <c r="F6" s="358">
        <f>16480+15530</f>
        <v>32010</v>
      </c>
      <c r="G6" s="362" t="s">
        <v>371</v>
      </c>
      <c r="H6" s="363"/>
      <c r="I6" s="365"/>
      <c r="J6" s="362"/>
      <c r="K6" s="363"/>
      <c r="L6" s="363"/>
      <c r="M6" s="366"/>
      <c r="N6" s="364">
        <v>29900</v>
      </c>
      <c r="O6" s="243"/>
    </row>
    <row r="7" spans="1:22" ht="20.25">
      <c r="A7" s="358"/>
      <c r="B7" s="358"/>
      <c r="C7" s="358"/>
      <c r="D7" s="358"/>
      <c r="E7" s="358"/>
      <c r="F7" s="358"/>
      <c r="G7" s="478" t="s">
        <v>239</v>
      </c>
      <c r="H7" s="479"/>
      <c r="I7" s="479"/>
      <c r="J7" s="479"/>
      <c r="K7" s="479"/>
      <c r="L7" s="479"/>
      <c r="M7" s="480"/>
      <c r="N7" s="364">
        <f>SUM(N3:N6)</f>
        <v>82344.388660618977</v>
      </c>
      <c r="O7" s="243"/>
      <c r="P7" s="357">
        <f>P3*1.033</f>
        <v>96198.124999999985</v>
      </c>
      <c r="R7" s="357">
        <f>AVERAGE(P7,N7)</f>
        <v>89271.256830309489</v>
      </c>
    </row>
    <row r="8" spans="1:22">
      <c r="P8" s="357">
        <f>P7+P3</f>
        <v>189323.125</v>
      </c>
    </row>
    <row r="9" spans="1:22" ht="15.75">
      <c r="A9" s="270" t="s">
        <v>253</v>
      </c>
      <c r="B9" s="270" t="s">
        <v>252</v>
      </c>
      <c r="C9" s="222">
        <v>2016</v>
      </c>
      <c r="D9" s="222">
        <v>2015</v>
      </c>
      <c r="E9" s="222">
        <v>2014</v>
      </c>
      <c r="F9" s="222">
        <v>2013</v>
      </c>
      <c r="I9" s="354">
        <v>2016</v>
      </c>
      <c r="J9" s="354">
        <v>2015</v>
      </c>
      <c r="K9" s="354">
        <v>2014</v>
      </c>
      <c r="L9" s="354">
        <v>2013</v>
      </c>
      <c r="M9" s="243"/>
      <c r="N9" s="243"/>
    </row>
    <row r="10" spans="1:22" ht="15.75">
      <c r="A10" s="468" t="s">
        <v>250</v>
      </c>
      <c r="B10" s="271" t="s">
        <v>248</v>
      </c>
      <c r="C10" s="248">
        <f>C25-C18</f>
        <v>37350</v>
      </c>
      <c r="D10" s="248">
        <f t="shared" ref="D10:F10" si="1">D25-D18</f>
        <v>43039</v>
      </c>
      <c r="E10" s="248">
        <f t="shared" si="1"/>
        <v>47162</v>
      </c>
      <c r="F10" s="248">
        <f t="shared" si="1"/>
        <v>44635</v>
      </c>
      <c r="I10" s="352">
        <f>E3*$L$3</f>
        <v>29016.491429646176</v>
      </c>
      <c r="J10" s="352">
        <f>D3*$L$3</f>
        <v>73230.895906646168</v>
      </c>
      <c r="K10" s="352">
        <f>C3*$L$3</f>
        <v>74311.655080185155</v>
      </c>
      <c r="L10" s="352">
        <f>B3*$L$3</f>
        <v>54668.751968898592</v>
      </c>
    </row>
    <row r="11" spans="1:22" ht="15.75">
      <c r="A11" s="468"/>
      <c r="B11" s="271" t="s">
        <v>236</v>
      </c>
      <c r="C11" s="248">
        <f t="shared" ref="C11:F12" si="2">C26-C19</f>
        <v>14444</v>
      </c>
      <c r="D11" s="248">
        <f t="shared" si="2"/>
        <v>12951</v>
      </c>
      <c r="E11" s="248">
        <f t="shared" si="2"/>
        <v>11744</v>
      </c>
      <c r="F11" s="248">
        <f t="shared" si="2"/>
        <v>16071</v>
      </c>
      <c r="I11" s="352">
        <f>E4*$L$4</f>
        <v>18913.837300393989</v>
      </c>
      <c r="J11" s="352">
        <f>D4*$L$4</f>
        <v>23177.33145852447</v>
      </c>
      <c r="K11" s="352">
        <f>C4*$L$4</f>
        <v>5154.020664357362</v>
      </c>
      <c r="L11" s="352">
        <f>B4*$L$4</f>
        <v>7565.5349201575964</v>
      </c>
      <c r="M11" s="84"/>
      <c r="N11" s="84"/>
    </row>
    <row r="12" spans="1:22" ht="15.75">
      <c r="A12" s="468"/>
      <c r="B12" s="271" t="s">
        <v>237</v>
      </c>
      <c r="C12" s="248">
        <f t="shared" si="2"/>
        <v>4310</v>
      </c>
      <c r="D12" s="248">
        <f t="shared" si="2"/>
        <v>5950</v>
      </c>
      <c r="E12" s="248">
        <f t="shared" si="2"/>
        <v>6784</v>
      </c>
      <c r="F12" s="248">
        <f t="shared" si="2"/>
        <v>6575</v>
      </c>
      <c r="I12" s="353">
        <f>E5*$L$5</f>
        <v>4385.2372341716973</v>
      </c>
      <c r="J12" s="353">
        <f>D5*$L$5</f>
        <v>5917.4907148175735</v>
      </c>
      <c r="K12" s="353">
        <f>C5*$L$5</f>
        <v>3260.552861172368</v>
      </c>
      <c r="L12" s="353" t="e">
        <f>B5*$L$5</f>
        <v>#VALUE!</v>
      </c>
    </row>
    <row r="13" spans="1:22" ht="15.75">
      <c r="A13" s="468"/>
      <c r="B13" s="271" t="s">
        <v>238</v>
      </c>
      <c r="C13" s="248">
        <f>C28-C21</f>
        <v>36176</v>
      </c>
      <c r="D13" s="248">
        <f t="shared" ref="D13:F13" si="3">D28-D21</f>
        <v>31618</v>
      </c>
      <c r="E13" s="248">
        <f t="shared" si="3"/>
        <v>5784</v>
      </c>
      <c r="F13" s="248">
        <f t="shared" si="3"/>
        <v>0</v>
      </c>
      <c r="I13" s="352">
        <f>E6*$L$6</f>
        <v>0</v>
      </c>
      <c r="J13" s="353"/>
      <c r="K13" s="353"/>
    </row>
    <row r="17" spans="1:7" ht="15.75">
      <c r="A17" s="270" t="s">
        <v>253</v>
      </c>
      <c r="B17" s="270" t="s">
        <v>252</v>
      </c>
      <c r="C17" s="222">
        <v>2016</v>
      </c>
      <c r="D17" s="222">
        <v>2015</v>
      </c>
      <c r="E17" s="222">
        <v>2014</v>
      </c>
      <c r="F17" s="222">
        <v>2013</v>
      </c>
    </row>
    <row r="18" spans="1:7" ht="15.75">
      <c r="A18" s="468" t="s">
        <v>250</v>
      </c>
      <c r="B18" s="271" t="s">
        <v>248</v>
      </c>
      <c r="C18" s="248">
        <v>38700</v>
      </c>
      <c r="D18" s="248">
        <v>47400</v>
      </c>
      <c r="E18" s="248">
        <v>45700</v>
      </c>
      <c r="F18" s="248">
        <v>46100</v>
      </c>
    </row>
    <row r="19" spans="1:7" ht="15.75">
      <c r="A19" s="468"/>
      <c r="B19" s="271" t="s">
        <v>236</v>
      </c>
      <c r="C19" s="248">
        <v>22800</v>
      </c>
      <c r="D19" s="248">
        <v>16800</v>
      </c>
      <c r="E19" s="248">
        <v>11800</v>
      </c>
      <c r="F19" s="248">
        <v>10200</v>
      </c>
    </row>
    <row r="20" spans="1:7" ht="15.75">
      <c r="A20" s="468"/>
      <c r="B20" s="271" t="s">
        <v>237</v>
      </c>
      <c r="C20" s="248">
        <v>5100</v>
      </c>
      <c r="D20" s="248">
        <v>6400</v>
      </c>
      <c r="E20" s="248">
        <v>7600</v>
      </c>
      <c r="F20" s="248">
        <v>6900</v>
      </c>
    </row>
    <row r="21" spans="1:7" ht="15.75">
      <c r="A21" s="468"/>
      <c r="B21" s="271" t="s">
        <v>238</v>
      </c>
      <c r="C21" s="248">
        <v>37300</v>
      </c>
      <c r="D21" s="248">
        <v>0</v>
      </c>
      <c r="E21" s="248">
        <v>0</v>
      </c>
      <c r="F21" s="248">
        <v>0</v>
      </c>
    </row>
    <row r="24" spans="1:7" ht="15.75">
      <c r="A24" s="270" t="s">
        <v>253</v>
      </c>
      <c r="B24" s="270" t="s">
        <v>252</v>
      </c>
      <c r="C24" s="222">
        <v>2016</v>
      </c>
      <c r="D24" s="222">
        <v>2015</v>
      </c>
      <c r="E24" s="222">
        <v>2014</v>
      </c>
      <c r="F24" s="222">
        <v>2013</v>
      </c>
    </row>
    <row r="25" spans="1:7" ht="15.75">
      <c r="A25" s="468" t="s">
        <v>250</v>
      </c>
      <c r="B25" s="271" t="s">
        <v>248</v>
      </c>
      <c r="C25" s="248">
        <v>76050</v>
      </c>
      <c r="D25" s="248">
        <v>90439</v>
      </c>
      <c r="E25" s="248">
        <v>92862</v>
      </c>
      <c r="F25" s="248">
        <v>90735</v>
      </c>
    </row>
    <row r="26" spans="1:7" ht="15.75">
      <c r="A26" s="468"/>
      <c r="B26" s="271" t="s">
        <v>236</v>
      </c>
      <c r="C26" s="248">
        <v>37244</v>
      </c>
      <c r="D26" s="248">
        <v>29751</v>
      </c>
      <c r="E26" s="248">
        <v>23544</v>
      </c>
      <c r="F26" s="248">
        <v>26271</v>
      </c>
      <c r="G26" s="355"/>
    </row>
    <row r="27" spans="1:7" ht="15.75">
      <c r="A27" s="468"/>
      <c r="B27" s="271" t="s">
        <v>237</v>
      </c>
      <c r="C27" s="248">
        <v>9410</v>
      </c>
      <c r="D27" s="248">
        <v>12350</v>
      </c>
      <c r="E27" s="248">
        <v>14384</v>
      </c>
      <c r="F27" s="248">
        <v>13475</v>
      </c>
      <c r="G27" s="355"/>
    </row>
    <row r="28" spans="1:7" ht="15.75">
      <c r="A28" s="468"/>
      <c r="B28" s="271" t="s">
        <v>238</v>
      </c>
      <c r="C28" s="248">
        <v>73476</v>
      </c>
      <c r="D28" s="248">
        <v>31618</v>
      </c>
      <c r="E28" s="248">
        <v>5784</v>
      </c>
      <c r="F28" s="248">
        <v>0</v>
      </c>
      <c r="G28" s="355"/>
    </row>
    <row r="29" spans="1:7" ht="15.75">
      <c r="A29" s="468"/>
      <c r="B29" s="258" t="s">
        <v>250</v>
      </c>
      <c r="C29" s="251">
        <v>196180</v>
      </c>
      <c r="D29" s="251">
        <v>164158</v>
      </c>
      <c r="E29" s="251">
        <v>136574</v>
      </c>
      <c r="F29" s="251">
        <v>130481</v>
      </c>
      <c r="G29" s="356"/>
    </row>
  </sheetData>
  <mergeCells count="5">
    <mergeCell ref="A25:A29"/>
    <mergeCell ref="A18:A21"/>
    <mergeCell ref="A10:A13"/>
    <mergeCell ref="G1:N1"/>
    <mergeCell ref="G7:M7"/>
  </mergeCells>
  <pageMargins left="0.7" right="0.7" top="0.75" bottom="0.75" header="0.3" footer="0.3"/>
  <pageSetup paperSize="9" orientation="portrait" r:id="rId1"/>
  <ignoredErrors>
    <ignoredError sqref="L12" evalError="1"/>
  </ignoredError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59DB-1AA5-4568-8A3C-3A3CE4E938F2}">
  <dimension ref="A1:CU6"/>
  <sheetViews>
    <sheetView rightToLeft="1" workbookViewId="0"/>
  </sheetViews>
  <sheetFormatPr defaultRowHeight="14.25"/>
  <sheetData>
    <row r="1" spans="1:99">
      <c r="A1" s="209"/>
      <c r="B1" s="209" t="s">
        <v>377</v>
      </c>
      <c r="C1" s="209" t="s">
        <v>378</v>
      </c>
      <c r="D1" s="209" t="s">
        <v>379</v>
      </c>
      <c r="E1" s="209" t="s">
        <v>380</v>
      </c>
      <c r="F1" s="209" t="s">
        <v>377</v>
      </c>
      <c r="G1" s="209" t="s">
        <v>378</v>
      </c>
      <c r="H1" s="209" t="s">
        <v>379</v>
      </c>
      <c r="I1" s="209" t="s">
        <v>380</v>
      </c>
      <c r="J1" s="209" t="s">
        <v>377</v>
      </c>
      <c r="K1" s="209" t="s">
        <v>378</v>
      </c>
      <c r="L1" s="209" t="s">
        <v>379</v>
      </c>
      <c r="M1" s="209" t="s">
        <v>380</v>
      </c>
      <c r="N1" s="209" t="s">
        <v>377</v>
      </c>
      <c r="O1" s="209" t="s">
        <v>378</v>
      </c>
      <c r="P1" s="209" t="s">
        <v>379</v>
      </c>
      <c r="Q1" s="209" t="s">
        <v>380</v>
      </c>
      <c r="R1" s="209" t="s">
        <v>377</v>
      </c>
      <c r="S1" s="209" t="s">
        <v>378</v>
      </c>
      <c r="T1" s="209" t="s">
        <v>379</v>
      </c>
      <c r="U1" s="209" t="s">
        <v>380</v>
      </c>
      <c r="V1" s="209" t="s">
        <v>377</v>
      </c>
      <c r="W1" s="209" t="s">
        <v>378</v>
      </c>
      <c r="X1" s="209" t="s">
        <v>379</v>
      </c>
      <c r="Y1" s="209" t="s">
        <v>380</v>
      </c>
      <c r="Z1" s="209" t="s">
        <v>377</v>
      </c>
      <c r="AA1" s="209" t="s">
        <v>378</v>
      </c>
      <c r="AB1" s="209" t="s">
        <v>379</v>
      </c>
      <c r="AC1" s="209" t="s">
        <v>380</v>
      </c>
      <c r="AD1" s="209" t="s">
        <v>377</v>
      </c>
      <c r="AE1" s="209" t="s">
        <v>378</v>
      </c>
      <c r="AF1" s="209" t="s">
        <v>379</v>
      </c>
      <c r="AG1" s="209" t="s">
        <v>380</v>
      </c>
      <c r="AH1" s="209" t="s">
        <v>377</v>
      </c>
      <c r="AI1" s="209" t="s">
        <v>378</v>
      </c>
      <c r="AJ1" s="209" t="s">
        <v>379</v>
      </c>
      <c r="AK1" s="209" t="s">
        <v>380</v>
      </c>
      <c r="AL1" s="209" t="s">
        <v>377</v>
      </c>
      <c r="AM1" s="209" t="s">
        <v>378</v>
      </c>
      <c r="AN1" s="209" t="s">
        <v>379</v>
      </c>
      <c r="AO1" s="209" t="s">
        <v>380</v>
      </c>
      <c r="AP1" s="209" t="s">
        <v>377</v>
      </c>
      <c r="AQ1" s="209" t="s">
        <v>378</v>
      </c>
      <c r="AR1" s="209" t="s">
        <v>379</v>
      </c>
      <c r="AS1" s="209" t="s">
        <v>380</v>
      </c>
      <c r="AT1" s="209" t="s">
        <v>377</v>
      </c>
      <c r="AU1" s="209" t="s">
        <v>378</v>
      </c>
      <c r="AV1" s="209" t="s">
        <v>379</v>
      </c>
      <c r="AW1" s="209" t="s">
        <v>380</v>
      </c>
      <c r="AX1" s="209" t="s">
        <v>377</v>
      </c>
      <c r="AY1" s="209" t="s">
        <v>378</v>
      </c>
      <c r="AZ1" s="209" t="s">
        <v>379</v>
      </c>
      <c r="BA1" s="209" t="s">
        <v>380</v>
      </c>
      <c r="BB1" s="209" t="s">
        <v>377</v>
      </c>
      <c r="BC1" s="209" t="s">
        <v>378</v>
      </c>
      <c r="BD1" s="209" t="s">
        <v>379</v>
      </c>
      <c r="BE1" s="209" t="s">
        <v>380</v>
      </c>
      <c r="BF1" s="209" t="s">
        <v>377</v>
      </c>
      <c r="BG1" s="209" t="s">
        <v>378</v>
      </c>
      <c r="BH1" s="209" t="s">
        <v>379</v>
      </c>
      <c r="BI1" s="209" t="s">
        <v>380</v>
      </c>
      <c r="BJ1" s="209" t="s">
        <v>377</v>
      </c>
      <c r="BK1" s="209" t="s">
        <v>378</v>
      </c>
      <c r="BL1" s="209" t="s">
        <v>379</v>
      </c>
      <c r="BM1" s="209" t="s">
        <v>380</v>
      </c>
      <c r="BN1" s="209" t="s">
        <v>377</v>
      </c>
      <c r="BO1" s="209" t="s">
        <v>378</v>
      </c>
      <c r="BP1" s="209" t="s">
        <v>379</v>
      </c>
      <c r="BQ1" s="209" t="s">
        <v>380</v>
      </c>
      <c r="BR1" s="209" t="s">
        <v>377</v>
      </c>
      <c r="BS1" s="209" t="s">
        <v>378</v>
      </c>
      <c r="BT1" s="209" t="s">
        <v>379</v>
      </c>
      <c r="BU1" s="209" t="s">
        <v>380</v>
      </c>
      <c r="BV1" s="209" t="s">
        <v>377</v>
      </c>
      <c r="BW1" s="209" t="s">
        <v>378</v>
      </c>
      <c r="BX1" s="209" t="s">
        <v>379</v>
      </c>
      <c r="BY1" s="209" t="s">
        <v>380</v>
      </c>
      <c r="BZ1" s="209" t="s">
        <v>377</v>
      </c>
      <c r="CA1" s="209" t="s">
        <v>378</v>
      </c>
      <c r="CB1" s="209" t="s">
        <v>379</v>
      </c>
      <c r="CC1" s="209" t="s">
        <v>380</v>
      </c>
      <c r="CD1" s="209" t="s">
        <v>377</v>
      </c>
      <c r="CE1" s="209" t="s">
        <v>378</v>
      </c>
      <c r="CF1" s="209" t="s">
        <v>379</v>
      </c>
      <c r="CG1" s="209" t="s">
        <v>380</v>
      </c>
      <c r="CH1" s="209" t="s">
        <v>377</v>
      </c>
      <c r="CI1" s="209" t="s">
        <v>378</v>
      </c>
      <c r="CJ1" s="209" t="s">
        <v>379</v>
      </c>
      <c r="CK1" s="209" t="s">
        <v>380</v>
      </c>
      <c r="CL1" s="209" t="s">
        <v>377</v>
      </c>
      <c r="CM1" s="209" t="s">
        <v>378</v>
      </c>
      <c r="CN1" s="209" t="s">
        <v>379</v>
      </c>
      <c r="CO1" s="209" t="s">
        <v>380</v>
      </c>
      <c r="CP1" s="209" t="s">
        <v>377</v>
      </c>
      <c r="CQ1" s="209" t="s">
        <v>378</v>
      </c>
      <c r="CR1" s="209" t="s">
        <v>379</v>
      </c>
      <c r="CS1" s="209" t="s">
        <v>380</v>
      </c>
      <c r="CT1" s="209" t="s">
        <v>377</v>
      </c>
      <c r="CU1" s="209" t="s">
        <v>378</v>
      </c>
    </row>
    <row r="2" spans="1:99">
      <c r="A2" s="209" t="s">
        <v>381</v>
      </c>
      <c r="B2" s="209">
        <v>46963</v>
      </c>
      <c r="C2" s="209">
        <v>46252</v>
      </c>
      <c r="D2" s="209">
        <v>44925</v>
      </c>
      <c r="E2" s="209">
        <v>47418</v>
      </c>
      <c r="F2" s="209">
        <v>47537</v>
      </c>
      <c r="G2" s="209">
        <v>56300</v>
      </c>
      <c r="H2" s="209">
        <v>43799</v>
      </c>
      <c r="I2" s="209">
        <v>49797</v>
      </c>
      <c r="J2" s="209">
        <v>33983</v>
      </c>
      <c r="K2" s="209">
        <v>36580</v>
      </c>
      <c r="L2" s="209">
        <v>38494</v>
      </c>
      <c r="M2" s="209">
        <v>33086</v>
      </c>
      <c r="N2" s="209">
        <v>32369</v>
      </c>
      <c r="O2" s="209">
        <v>32626</v>
      </c>
      <c r="P2" s="209">
        <v>32317</v>
      </c>
      <c r="Q2" s="209">
        <v>34922</v>
      </c>
      <c r="R2" s="209">
        <v>31138</v>
      </c>
      <c r="S2" s="209">
        <v>32105</v>
      </c>
      <c r="T2" s="209">
        <v>36036</v>
      </c>
      <c r="U2" s="209">
        <v>34873</v>
      </c>
      <c r="V2" s="209">
        <v>33593</v>
      </c>
      <c r="W2" s="209">
        <v>31560</v>
      </c>
      <c r="X2" s="209">
        <v>33246</v>
      </c>
      <c r="Y2" s="209">
        <v>30519</v>
      </c>
      <c r="Z2" s="209">
        <v>30842</v>
      </c>
      <c r="AA2" s="209">
        <v>25043</v>
      </c>
      <c r="AB2" s="209">
        <v>27811</v>
      </c>
      <c r="AC2" s="209">
        <v>27242</v>
      </c>
      <c r="AD2" s="209">
        <v>26811</v>
      </c>
      <c r="AE2" s="209">
        <v>27419</v>
      </c>
      <c r="AF2" s="209">
        <v>26967</v>
      </c>
      <c r="AG2" s="209">
        <v>31691</v>
      </c>
      <c r="AH2" s="209">
        <v>36662</v>
      </c>
      <c r="AI2" s="209">
        <v>44637</v>
      </c>
      <c r="AJ2" s="209">
        <v>44632</v>
      </c>
      <c r="AK2" s="209">
        <v>53544</v>
      </c>
      <c r="AL2" s="209">
        <v>56135</v>
      </c>
      <c r="AM2" s="209">
        <v>51672</v>
      </c>
      <c r="AN2" s="209">
        <v>52225</v>
      </c>
      <c r="AO2" s="209">
        <v>50831</v>
      </c>
      <c r="AP2" s="209">
        <v>49341</v>
      </c>
      <c r="AQ2" s="209">
        <v>28447</v>
      </c>
      <c r="AR2" s="209">
        <v>23616</v>
      </c>
      <c r="AS2" s="209">
        <v>29754</v>
      </c>
      <c r="AT2" s="209">
        <v>23249</v>
      </c>
      <c r="AU2" s="209">
        <v>24002</v>
      </c>
      <c r="AV2" s="209">
        <v>23682</v>
      </c>
      <c r="AW2" s="209">
        <v>24858</v>
      </c>
      <c r="AX2" s="209">
        <v>21994</v>
      </c>
      <c r="AY2" s="209">
        <v>18917</v>
      </c>
      <c r="AZ2" s="209">
        <v>23918</v>
      </c>
      <c r="BA2" s="209">
        <v>20944</v>
      </c>
      <c r="BB2" s="209">
        <v>18012</v>
      </c>
      <c r="BC2" s="209">
        <v>19967</v>
      </c>
      <c r="BD2" s="209">
        <v>22149</v>
      </c>
      <c r="BE2" s="209">
        <v>26315</v>
      </c>
      <c r="BF2" s="209">
        <v>17961</v>
      </c>
      <c r="BG2" s="209">
        <v>14653</v>
      </c>
      <c r="BH2" s="209">
        <v>18639</v>
      </c>
      <c r="BI2" s="209">
        <v>21243</v>
      </c>
      <c r="BJ2" s="209">
        <v>19667</v>
      </c>
      <c r="BK2" s="209">
        <v>15094</v>
      </c>
      <c r="BL2" s="209">
        <v>21960</v>
      </c>
      <c r="BM2" s="209">
        <v>21657</v>
      </c>
      <c r="BN2" s="209">
        <v>23138</v>
      </c>
      <c r="BO2" s="209">
        <v>21654</v>
      </c>
      <c r="BP2" s="209">
        <v>18498</v>
      </c>
      <c r="BQ2" s="209">
        <v>26598</v>
      </c>
      <c r="BR2" s="209">
        <v>26766</v>
      </c>
      <c r="BS2" s="209">
        <v>17639</v>
      </c>
      <c r="BT2" s="209">
        <v>25945</v>
      </c>
      <c r="BU2" s="209">
        <v>25326</v>
      </c>
      <c r="BV2" s="209">
        <v>19039</v>
      </c>
      <c r="BW2" s="209">
        <v>16436</v>
      </c>
      <c r="BX2" s="209">
        <v>22036</v>
      </c>
      <c r="BY2" s="209">
        <v>18263</v>
      </c>
      <c r="BZ2" s="209">
        <v>18480</v>
      </c>
      <c r="CA2" s="209">
        <v>13705</v>
      </c>
      <c r="CB2" s="209">
        <v>24155</v>
      </c>
      <c r="CC2" s="209">
        <v>20990</v>
      </c>
      <c r="CD2" s="209">
        <v>24356</v>
      </c>
      <c r="CE2" s="209">
        <v>23038</v>
      </c>
      <c r="CF2" s="209">
        <v>28004</v>
      </c>
      <c r="CG2" s="209">
        <v>26832</v>
      </c>
      <c r="CH2" s="209">
        <v>19271</v>
      </c>
      <c r="CI2" s="209">
        <v>16043</v>
      </c>
      <c r="CJ2" s="209">
        <v>21517</v>
      </c>
      <c r="CK2" s="209">
        <v>20984</v>
      </c>
      <c r="CL2" s="209">
        <v>20201</v>
      </c>
      <c r="CM2" s="209">
        <v>17190</v>
      </c>
      <c r="CN2" s="209">
        <v>17820</v>
      </c>
      <c r="CO2" s="209">
        <v>16067</v>
      </c>
      <c r="CP2" s="209">
        <v>14889</v>
      </c>
      <c r="CQ2" s="209">
        <v>17573</v>
      </c>
      <c r="CR2" s="209">
        <v>19737</v>
      </c>
      <c r="CS2" s="209">
        <v>27457</v>
      </c>
      <c r="CT2" s="209">
        <v>25066</v>
      </c>
      <c r="CU2" s="209">
        <v>22139</v>
      </c>
    </row>
    <row r="3" spans="1:99">
      <c r="D3">
        <f>D2+E2</f>
        <v>92343</v>
      </c>
      <c r="F3">
        <f>F2+G2</f>
        <v>103837</v>
      </c>
      <c r="H3">
        <f>H2+I2</f>
        <v>93596</v>
      </c>
      <c r="J3">
        <f>J2+K2</f>
        <v>70563</v>
      </c>
      <c r="L3">
        <f>L2+M2</f>
        <v>71580</v>
      </c>
      <c r="N3">
        <f>N2+O2</f>
        <v>64995</v>
      </c>
      <c r="P3">
        <f t="shared" ref="P3" si="0">P2+Q2</f>
        <v>67239</v>
      </c>
      <c r="R3">
        <f t="shared" ref="R3" si="1">R2+S2</f>
        <v>63243</v>
      </c>
      <c r="T3">
        <f t="shared" ref="T3" si="2">T2+U2</f>
        <v>70909</v>
      </c>
      <c r="V3">
        <f t="shared" ref="V3" si="3">V2+W2</f>
        <v>65153</v>
      </c>
      <c r="X3">
        <f t="shared" ref="X3" si="4">X2+Y2</f>
        <v>63765</v>
      </c>
      <c r="Z3">
        <f t="shared" ref="Z3" si="5">Z2+AA2</f>
        <v>55885</v>
      </c>
      <c r="AB3">
        <f t="shared" ref="AB3" si="6">AB2+AC2</f>
        <v>55053</v>
      </c>
      <c r="AD3">
        <f t="shared" ref="AD3" si="7">AD2+AE2</f>
        <v>54230</v>
      </c>
      <c r="AF3">
        <f t="shared" ref="AF3" si="8">AF2+AG2</f>
        <v>58658</v>
      </c>
      <c r="AH3">
        <f t="shared" ref="AH3" si="9">AH2+AI2</f>
        <v>81299</v>
      </c>
      <c r="AJ3">
        <f t="shared" ref="AJ3" si="10">AJ2+AK2</f>
        <v>98176</v>
      </c>
      <c r="AL3">
        <f t="shared" ref="AL3" si="11">AL2+AM2</f>
        <v>107807</v>
      </c>
      <c r="AN3">
        <f t="shared" ref="AN3" si="12">AN2+AO2</f>
        <v>103056</v>
      </c>
      <c r="AP3">
        <f t="shared" ref="AP3" si="13">AP2+AQ2</f>
        <v>77788</v>
      </c>
      <c r="AR3">
        <f t="shared" ref="AR3" si="14">AR2+AS2</f>
        <v>53370</v>
      </c>
      <c r="AT3">
        <f t="shared" ref="AT3" si="15">AT2+AU2</f>
        <v>47251</v>
      </c>
      <c r="AV3">
        <f t="shared" ref="AV3" si="16">AV2+AW2</f>
        <v>48540</v>
      </c>
      <c r="AX3">
        <f t="shared" ref="AX3" si="17">AX2+AY2</f>
        <v>40911</v>
      </c>
      <c r="AZ3">
        <f t="shared" ref="AZ3" si="18">AZ2+BA2</f>
        <v>44862</v>
      </c>
      <c r="BB3">
        <f t="shared" ref="BB3" si="19">BB2+BC2</f>
        <v>37979</v>
      </c>
      <c r="BD3">
        <f t="shared" ref="BD3" si="20">BD2+BE2</f>
        <v>48464</v>
      </c>
      <c r="BF3">
        <f t="shared" ref="BF3" si="21">BF2+BG2</f>
        <v>32614</v>
      </c>
      <c r="BH3">
        <f t="shared" ref="BH3" si="22">BH2+BI2</f>
        <v>39882</v>
      </c>
      <c r="BJ3">
        <f t="shared" ref="BJ3" si="23">BJ2+BK2</f>
        <v>34761</v>
      </c>
      <c r="BL3">
        <f t="shared" ref="BL3" si="24">BL2+BM2</f>
        <v>43617</v>
      </c>
      <c r="BN3">
        <f t="shared" ref="BN3" si="25">BN2+BO2</f>
        <v>44792</v>
      </c>
      <c r="BP3">
        <f t="shared" ref="BP3" si="26">BP2+BQ2</f>
        <v>45096</v>
      </c>
      <c r="BR3">
        <f t="shared" ref="BR3" si="27">BR2+BS2</f>
        <v>44405</v>
      </c>
      <c r="BT3">
        <f t="shared" ref="BT3" si="28">BT2+BU2</f>
        <v>51271</v>
      </c>
      <c r="BV3">
        <f t="shared" ref="BV3" si="29">BV2+BW2</f>
        <v>35475</v>
      </c>
      <c r="BX3">
        <f t="shared" ref="BX3" si="30">BX2+BY2</f>
        <v>40299</v>
      </c>
      <c r="BZ3">
        <f t="shared" ref="BZ3" si="31">BZ2+CA2</f>
        <v>32185</v>
      </c>
      <c r="CB3">
        <f t="shared" ref="CB3" si="32">CB2+CC2</f>
        <v>45145</v>
      </c>
      <c r="CD3">
        <f t="shared" ref="CD3" si="33">CD2+CE2</f>
        <v>47394</v>
      </c>
      <c r="CF3">
        <f t="shared" ref="CF3" si="34">CF2+CG2</f>
        <v>54836</v>
      </c>
      <c r="CH3">
        <f t="shared" ref="CH3" si="35">CH2+CI2</f>
        <v>35314</v>
      </c>
      <c r="CJ3">
        <f t="shared" ref="CJ3" si="36">CJ2+CK2</f>
        <v>42501</v>
      </c>
      <c r="CL3">
        <f t="shared" ref="CL3" si="37">CL2+CM2</f>
        <v>37391</v>
      </c>
      <c r="CN3">
        <f t="shared" ref="CN3" si="38">CN2+CO2</f>
        <v>33887</v>
      </c>
      <c r="CP3">
        <f t="shared" ref="CP3" si="39">CP2+CQ2</f>
        <v>32462</v>
      </c>
      <c r="CR3">
        <f t="shared" ref="CR3" si="40">CR2+CS2</f>
        <v>47194</v>
      </c>
      <c r="CT3">
        <f t="shared" ref="CT3" si="41">CT2+CU2</f>
        <v>47205</v>
      </c>
    </row>
    <row r="4" spans="1:99">
      <c r="B4">
        <v>47</v>
      </c>
      <c r="E4">
        <f>D3/F3</f>
        <v>0.88930727967872725</v>
      </c>
      <c r="G4">
        <f t="shared" ref="G4:BQ4" si="42">F3/H3</f>
        <v>1.1094170691055174</v>
      </c>
      <c r="I4">
        <f t="shared" si="42"/>
        <v>1.3264175275994501</v>
      </c>
      <c r="K4">
        <f t="shared" si="42"/>
        <v>0.98579212070410727</v>
      </c>
      <c r="M4">
        <f t="shared" si="42"/>
        <v>1.1013154858066005</v>
      </c>
      <c r="O4">
        <f t="shared" si="42"/>
        <v>0.96662651139963418</v>
      </c>
      <c r="Q4">
        <f t="shared" si="42"/>
        <v>1.0631848584033015</v>
      </c>
      <c r="S4">
        <f t="shared" si="42"/>
        <v>0.89188960498667302</v>
      </c>
      <c r="U4">
        <f t="shared" si="42"/>
        <v>1.0883458935121944</v>
      </c>
      <c r="W4">
        <f t="shared" si="42"/>
        <v>1.0217674272720145</v>
      </c>
      <c r="Y4">
        <f t="shared" si="42"/>
        <v>1.1410038471861859</v>
      </c>
      <c r="AA4">
        <f t="shared" si="42"/>
        <v>1.0151127095707773</v>
      </c>
      <c r="AC4">
        <f t="shared" si="42"/>
        <v>1.0151761017886778</v>
      </c>
      <c r="AE4">
        <f t="shared" si="42"/>
        <v>0.92451157557366426</v>
      </c>
      <c r="AG4">
        <f t="shared" si="42"/>
        <v>0.72150948966161943</v>
      </c>
      <c r="AI4">
        <f t="shared" si="42"/>
        <v>0.82809444263363752</v>
      </c>
      <c r="AK4">
        <f t="shared" si="42"/>
        <v>0.91066442809836101</v>
      </c>
      <c r="AM4">
        <f t="shared" si="42"/>
        <v>1.0461011488899239</v>
      </c>
      <c r="AO4">
        <f t="shared" si="42"/>
        <v>1.324831593561989</v>
      </c>
      <c r="AQ4">
        <f t="shared" si="42"/>
        <v>1.4575229529698333</v>
      </c>
      <c r="AS4">
        <f t="shared" si="42"/>
        <v>1.1294999047639203</v>
      </c>
      <c r="AU4">
        <f t="shared" si="42"/>
        <v>0.97344458178821591</v>
      </c>
      <c r="AW4">
        <f t="shared" si="42"/>
        <v>1.1864779643616632</v>
      </c>
      <c r="AY4">
        <f t="shared" si="42"/>
        <v>0.91192991841647719</v>
      </c>
      <c r="BA4">
        <f t="shared" si="42"/>
        <v>1.1812317333263118</v>
      </c>
      <c r="BC4">
        <f t="shared" si="42"/>
        <v>0.78365384615384615</v>
      </c>
      <c r="BE4">
        <f t="shared" si="42"/>
        <v>1.4859876126816705</v>
      </c>
      <c r="BG4">
        <f t="shared" si="42"/>
        <v>0.81776239907727799</v>
      </c>
      <c r="BI4">
        <f t="shared" si="42"/>
        <v>1.1473202727194269</v>
      </c>
      <c r="BK4">
        <f t="shared" si="42"/>
        <v>0.79695990095604929</v>
      </c>
      <c r="BM4">
        <f t="shared" si="42"/>
        <v>0.9737676370780497</v>
      </c>
      <c r="BO4">
        <f t="shared" si="42"/>
        <v>0.99325882561646262</v>
      </c>
      <c r="BQ4">
        <f t="shared" si="42"/>
        <v>1.0155613106632135</v>
      </c>
      <c r="BS4">
        <f t="shared" ref="BS4:CS4" si="43">BR3/BT3</f>
        <v>0.86608414113241405</v>
      </c>
      <c r="BU4">
        <f t="shared" si="43"/>
        <v>1.4452713178294574</v>
      </c>
      <c r="BW4">
        <f t="shared" si="43"/>
        <v>0.88029479639693298</v>
      </c>
      <c r="BY4">
        <f t="shared" si="43"/>
        <v>1.2521050178654654</v>
      </c>
      <c r="CA4">
        <f t="shared" si="43"/>
        <v>0.71292501938199138</v>
      </c>
      <c r="CC4">
        <f t="shared" si="43"/>
        <v>0.95254673587373928</v>
      </c>
      <c r="CE4">
        <f t="shared" si="43"/>
        <v>0.86428623531986282</v>
      </c>
      <c r="CG4">
        <f t="shared" si="43"/>
        <v>1.5528119159540126</v>
      </c>
      <c r="CI4">
        <f t="shared" si="43"/>
        <v>0.83089809651537616</v>
      </c>
      <c r="CK4">
        <f t="shared" si="43"/>
        <v>1.1366639030782808</v>
      </c>
      <c r="CM4">
        <f t="shared" si="43"/>
        <v>1.103402484728657</v>
      </c>
      <c r="CO4">
        <f t="shared" si="43"/>
        <v>1.0438974801306142</v>
      </c>
      <c r="CQ4">
        <f t="shared" si="43"/>
        <v>0.68784167478916813</v>
      </c>
      <c r="CS4">
        <f t="shared" si="43"/>
        <v>0.99976697383751723</v>
      </c>
    </row>
    <row r="5" spans="1:99">
      <c r="B5">
        <f>SUM(D4:ZZ4)</f>
        <v>48.554243768838958</v>
      </c>
    </row>
    <row r="6" spans="1:99" ht="57">
      <c r="A6" s="276" t="s">
        <v>382</v>
      </c>
      <c r="B6" s="272">
        <f>B5/B4-1</f>
        <v>3.3069016358275638E-2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120B-7F6B-44B8-9944-3AFB34F77832}">
  <dimension ref="A1:Y10"/>
  <sheetViews>
    <sheetView rightToLeft="1" workbookViewId="0"/>
  </sheetViews>
  <sheetFormatPr defaultRowHeight="15.75"/>
  <cols>
    <col min="1" max="1" width="9" style="282"/>
    <col min="2" max="2" width="17" style="282" hidden="1" customWidth="1"/>
    <col min="3" max="3" width="18.25" style="282" customWidth="1"/>
    <col min="4" max="17" width="9" style="282"/>
    <col min="18" max="18" width="18.125" style="281" customWidth="1"/>
    <col min="19" max="16384" width="9" style="282"/>
  </cols>
  <sheetData>
    <row r="1" spans="1:25">
      <c r="A1" s="283" t="s">
        <v>301</v>
      </c>
      <c r="B1" s="284" t="s">
        <v>302</v>
      </c>
      <c r="C1" s="274" t="s">
        <v>311</v>
      </c>
      <c r="R1" s="290"/>
      <c r="S1" s="291" t="s">
        <v>246</v>
      </c>
      <c r="T1" s="291">
        <v>2016</v>
      </c>
      <c r="U1" s="291">
        <v>2015</v>
      </c>
      <c r="V1" s="291">
        <v>2014</v>
      </c>
      <c r="W1" s="291">
        <v>2013</v>
      </c>
      <c r="X1" s="291">
        <v>2012</v>
      </c>
      <c r="Y1" s="291">
        <v>2011</v>
      </c>
    </row>
    <row r="2" spans="1:25">
      <c r="A2" s="285" t="s">
        <v>303</v>
      </c>
      <c r="B2" s="286">
        <v>7836.6</v>
      </c>
      <c r="C2" s="275">
        <v>1.84E-2</v>
      </c>
      <c r="E2" s="277" t="s">
        <v>309</v>
      </c>
      <c r="F2" s="277" t="s">
        <v>310</v>
      </c>
      <c r="R2" s="265" t="s">
        <v>240</v>
      </c>
      <c r="S2" s="287">
        <f>AVERAGE(T2:Y2)</f>
        <v>0.10579114466819291</v>
      </c>
      <c r="T2" s="288">
        <v>0.19506816603516119</v>
      </c>
      <c r="U2" s="288">
        <v>0.20197109259449086</v>
      </c>
      <c r="V2" s="288">
        <v>4.6696453889838452E-2</v>
      </c>
      <c r="W2" s="288">
        <v>-4.1011017117322357E-2</v>
      </c>
      <c r="X2" s="288">
        <v>0.1371583786042625</v>
      </c>
      <c r="Y2" s="288">
        <v>9.486379400272682E-2</v>
      </c>
    </row>
    <row r="3" spans="1:25">
      <c r="A3" s="285" t="s">
        <v>304</v>
      </c>
      <c r="B3" s="286">
        <v>7984.5</v>
      </c>
      <c r="C3" s="275">
        <v>1.8872980629354608E-2</v>
      </c>
      <c r="E3" s="277">
        <v>2010</v>
      </c>
      <c r="F3" s="278">
        <v>5.7000000000000002E-2</v>
      </c>
      <c r="R3" s="265" t="s">
        <v>312</v>
      </c>
      <c r="S3" s="287">
        <f t="shared" ref="S3:S4" si="0">AVERAGE(T3:Y3)</f>
        <v>0.10867711688135349</v>
      </c>
      <c r="T3" s="288">
        <v>7.4712941977082004E-3</v>
      </c>
      <c r="U3" s="288">
        <v>-4.0892748492726394E-2</v>
      </c>
      <c r="V3" s="288">
        <v>5.9845293891776175E-2</v>
      </c>
      <c r="W3" s="288">
        <v>-0.2174352857519698</v>
      </c>
      <c r="X3" s="288">
        <v>0.20925620293191693</v>
      </c>
      <c r="Y3" s="288">
        <v>0.63381794451141582</v>
      </c>
    </row>
    <row r="4" spans="1:25" ht="47.25">
      <c r="A4" s="285" t="s">
        <v>305</v>
      </c>
      <c r="B4" s="286">
        <v>8134.5</v>
      </c>
      <c r="C4" s="275">
        <v>1.8786398647379299E-2</v>
      </c>
      <c r="E4" s="277">
        <v>2011</v>
      </c>
      <c r="F4" s="278">
        <v>5.0999999999999997E-2</v>
      </c>
      <c r="R4" s="265" t="s">
        <v>313</v>
      </c>
      <c r="S4" s="287">
        <f t="shared" si="0"/>
        <v>0.1034610328988556</v>
      </c>
      <c r="T4" s="289">
        <v>6.7742175390251916E-2</v>
      </c>
      <c r="U4" s="289">
        <v>2.5690850620490851E-2</v>
      </c>
      <c r="V4" s="289">
        <v>5.6207648141394784E-2</v>
      </c>
      <c r="W4" s="289">
        <v>-0.17547061620653967</v>
      </c>
      <c r="X4" s="289">
        <v>0.19129049389272437</v>
      </c>
      <c r="Y4" s="289">
        <v>0.45530564555481129</v>
      </c>
    </row>
    <row r="5" spans="1:25">
      <c r="A5" s="285" t="s">
        <v>306</v>
      </c>
      <c r="B5" s="286">
        <v>8296.9</v>
      </c>
      <c r="C5" s="275">
        <v>1.9964349376114132E-2</v>
      </c>
      <c r="E5" s="277">
        <v>2012</v>
      </c>
      <c r="F5" s="278">
        <v>2.4E-2</v>
      </c>
    </row>
    <row r="6" spans="1:25">
      <c r="A6" s="285" t="s">
        <v>307</v>
      </c>
      <c r="B6" s="286">
        <v>8463.4</v>
      </c>
      <c r="C6" s="275">
        <v>2.0067736142414638E-2</v>
      </c>
      <c r="E6" s="277">
        <v>2013</v>
      </c>
      <c r="F6" s="278">
        <v>4.3999999999999997E-2</v>
      </c>
    </row>
    <row r="7" spans="1:25">
      <c r="A7" s="285" t="s">
        <v>308</v>
      </c>
      <c r="B7" s="286">
        <v>8628.6</v>
      </c>
      <c r="C7" s="275">
        <v>1.9519342108372584E-2</v>
      </c>
      <c r="E7" s="277">
        <v>2014</v>
      </c>
      <c r="F7" s="278">
        <v>3.2000000000000001E-2</v>
      </c>
    </row>
    <row r="8" spans="1:25">
      <c r="A8" s="285" t="s">
        <v>246</v>
      </c>
      <c r="B8" s="226"/>
      <c r="C8" s="279">
        <f>AVERAGE(C2:C7)</f>
        <v>1.9268467817272542E-2</v>
      </c>
      <c r="E8" s="277">
        <v>2015</v>
      </c>
      <c r="F8" s="278">
        <v>2.5000000000000001E-2</v>
      </c>
    </row>
    <row r="9" spans="1:25">
      <c r="E9" s="277">
        <v>2016</v>
      </c>
      <c r="F9" s="278">
        <v>3.7999999999999999E-2</v>
      </c>
    </row>
    <row r="10" spans="1:25">
      <c r="E10" s="277" t="s">
        <v>246</v>
      </c>
      <c r="F10" s="278">
        <f>AVERAGE(F3:F9)</f>
        <v>3.8714285714285708E-2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31E3-535A-4113-A49D-6EFF1A5770E9}">
  <dimension ref="A1:H6"/>
  <sheetViews>
    <sheetView rightToLeft="1" workbookViewId="0">
      <selection activeCell="B6" sqref="B6"/>
    </sheetView>
  </sheetViews>
  <sheetFormatPr defaultRowHeight="14.25"/>
  <cols>
    <col min="1" max="1" width="9" style="388"/>
    <col min="2" max="2" width="23.75" style="388" customWidth="1"/>
    <col min="3" max="7" width="9" style="388"/>
    <col min="8" max="8" width="9.875" style="388" bestFit="1" customWidth="1"/>
    <col min="9" max="16384" width="9" style="388"/>
  </cols>
  <sheetData>
    <row r="1" spans="1:8" ht="15" thickBot="1"/>
    <row r="2" spans="1:8" ht="15.75">
      <c r="B2" s="395"/>
      <c r="C2" s="396">
        <v>2012</v>
      </c>
      <c r="D2" s="396">
        <v>2013</v>
      </c>
      <c r="E2" s="396">
        <v>2014</v>
      </c>
      <c r="F2" s="396">
        <v>2015</v>
      </c>
      <c r="G2" s="396">
        <v>2016</v>
      </c>
      <c r="H2" s="400" t="s">
        <v>246</v>
      </c>
    </row>
    <row r="3" spans="1:8" ht="15.75">
      <c r="B3" s="389" t="s">
        <v>381</v>
      </c>
      <c r="C3" s="390">
        <v>136062</v>
      </c>
      <c r="D3" s="391">
        <v>130482</v>
      </c>
      <c r="E3" s="391">
        <v>136574</v>
      </c>
      <c r="F3" s="391">
        <v>164159</v>
      </c>
      <c r="G3" s="391">
        <v>196180</v>
      </c>
      <c r="H3" s="401"/>
    </row>
    <row r="4" spans="1:8" ht="31.5">
      <c r="A4" s="388" t="s">
        <v>399</v>
      </c>
      <c r="B4" s="392" t="s">
        <v>398</v>
      </c>
      <c r="C4" s="391">
        <v>11800</v>
      </c>
      <c r="D4" s="391">
        <v>29800</v>
      </c>
      <c r="E4" s="391">
        <v>43900</v>
      </c>
      <c r="F4" s="391">
        <v>50300</v>
      </c>
      <c r="G4" s="391">
        <v>45700</v>
      </c>
      <c r="H4" s="401"/>
    </row>
    <row r="5" spans="1:8" ht="15.75">
      <c r="B5" s="393"/>
      <c r="C5" s="390">
        <f>C3-C4</f>
        <v>124262</v>
      </c>
      <c r="D5" s="390">
        <f t="shared" ref="D5:G5" si="0">D3-D4</f>
        <v>100682</v>
      </c>
      <c r="E5" s="390">
        <f t="shared" si="0"/>
        <v>92674</v>
      </c>
      <c r="F5" s="390">
        <f t="shared" si="0"/>
        <v>113859</v>
      </c>
      <c r="G5" s="390">
        <f t="shared" si="0"/>
        <v>150480</v>
      </c>
      <c r="H5" s="394"/>
    </row>
    <row r="6" spans="1:8" ht="16.5" thickBot="1">
      <c r="B6" s="397" t="s">
        <v>244</v>
      </c>
      <c r="C6" s="398"/>
      <c r="D6" s="399">
        <f>D5/C5-1</f>
        <v>-0.18976034507733663</v>
      </c>
      <c r="E6" s="399">
        <f t="shared" ref="E6:F6" si="1">E5/D5-1</f>
        <v>-7.953755388252115E-2</v>
      </c>
      <c r="F6" s="399">
        <f t="shared" si="1"/>
        <v>0.22859701750221206</v>
      </c>
      <c r="G6" s="399">
        <f>G5/F5-1</f>
        <v>0.32163465338708397</v>
      </c>
      <c r="H6" s="402">
        <f>AVERAGE(D6:G6)</f>
        <v>7.0233442982359562E-2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28</vt:i4>
      </vt:variant>
    </vt:vector>
  </HeadingPairs>
  <TitlesOfParts>
    <vt:vector size="28" baseType="lpstr">
      <vt:lpstr>רווח והפסד 2014 -2016</vt:lpstr>
      <vt:lpstr>מאזן 2014 - 2016</vt:lpstr>
      <vt:lpstr>תזרים מזומנים 2014 - 2016</vt:lpstr>
      <vt:lpstr>EBITDA</vt:lpstr>
      <vt:lpstr>דירוג</vt:lpstr>
      <vt:lpstr>רו"ח</vt:lpstr>
      <vt:lpstr>מאזן</vt:lpstr>
      <vt:lpstr>מאזן3</vt:lpstr>
      <vt:lpstr>מאזן5</vt:lpstr>
      <vt:lpstr>תזרים</vt:lpstr>
      <vt:lpstr>תזרים קצר</vt:lpstr>
      <vt:lpstr>יחסים</vt:lpstr>
      <vt:lpstr>יחסים 2</vt:lpstr>
      <vt:lpstr>EVEBITDA</vt:lpstr>
      <vt:lpstr>אלתמן</vt:lpstr>
      <vt:lpstr>ניתוח מגזרי פעילות</vt:lpstr>
      <vt:lpstr>מגזרי פעילות</vt:lpstr>
      <vt:lpstr>-פחת ורכוש קבוע</vt:lpstr>
      <vt:lpstr>ציוד</vt:lpstr>
      <vt:lpstr>WACC1</vt:lpstr>
      <vt:lpstr>WACC</vt:lpstr>
      <vt:lpstr>הערכת השווי</vt:lpstr>
      <vt:lpstr>טבלת רגישות אופטימית</vt:lpstr>
      <vt:lpstr>טבלת רגישות רגילה</vt:lpstr>
      <vt:lpstr>צבר הזמנות</vt:lpstr>
      <vt:lpstr>יחס בין חציונים</vt:lpstr>
      <vt:lpstr>צמיחה</vt:lpstr>
      <vt:lpstr>מכירות מנוטרלות פעילות המים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2019-11-09T23:25:28Z</dcterms:modified>
</cp:coreProperties>
</file>