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codeName="ThisWorkbook" defaultThemeVersion="124226"/>
  <mc:AlternateContent xmlns:mc="http://schemas.openxmlformats.org/markup-compatibility/2006">
    <mc:Choice Requires="x15">
      <x15ac:absPath xmlns:x15ac="http://schemas.microsoft.com/office/spreadsheetml/2010/11/ac" url="C:\Users\pc\Downloads\"/>
    </mc:Choice>
  </mc:AlternateContent>
  <xr:revisionPtr revIDLastSave="0" documentId="13_ncr:1_{17DEE6DC-C6C7-4805-BCCD-1520D80FFC7B}" xr6:coauthVersionLast="47" xr6:coauthVersionMax="47" xr10:uidLastSave="{00000000-0000-0000-0000-000000000000}"/>
  <bookViews>
    <workbookView xWindow="-110" yWindow="-110" windowWidth="19420" windowHeight="10300" activeTab="4" xr2:uid="{00000000-000D-0000-FFFF-FFFF00000000}"/>
  </bookViews>
  <sheets>
    <sheet name="Notes" sheetId="5" r:id="rId1"/>
    <sheet name="NPV Model" sheetId="9" r:id="rId2"/>
    <sheet name="NWC Schedule" sheetId="8" r:id="rId3"/>
    <sheet name="CCA Schedule" sheetId="7" r:id="rId4"/>
    <sheet name="Documentation " sheetId="11" r:id="rId5"/>
    <sheet name="Extra in case" sheetId="6" r:id="rId6"/>
  </sheets>
  <externalReferences>
    <externalReference r:id="rId7"/>
  </externalReferences>
  <definedNames>
    <definedName name="Add_back_Depreciation">'NPV Model'!$B$39:$H$39</definedName>
    <definedName name="CapEx" localSheetId="1">'NPV Model'!$C$7</definedName>
    <definedName name="CapEx">'Extra in case'!$C$7</definedName>
    <definedName name="Capital_Spending____Salvage">'NPV Model'!$B$45:$H$45</definedName>
    <definedName name="Cases">'NPV Model'!$A$100:$A$126</definedName>
    <definedName name="Cum_Free_Cash_Flow">'NPV Model'!$B$49:$H$49</definedName>
    <definedName name="d" localSheetId="1">'NPV Model'!$C$17</definedName>
    <definedName name="d">'Extra in case'!$C$17</definedName>
    <definedName name="FC" localSheetId="1">'NPV Model'!$C$13</definedName>
    <definedName name="FC">'Extra in case'!$C$13</definedName>
    <definedName name="Field_names">'NPV Model'!$A$99:$N$99</definedName>
    <definedName name="FYS_Vol" localSheetId="1">'NPV Model'!$C$9</definedName>
    <definedName name="FYS_Vol">'Extra in case'!$C$9</definedName>
    <definedName name="GR" localSheetId="1">'NPV Model'!$C$10</definedName>
    <definedName name="GR">'Extra in case'!$C$10</definedName>
    <definedName name="Internal_Rate_of_Return">'NPV Model'!$B$53:$C$53</definedName>
    <definedName name="Modified_Internal_Rate_of_Return">'NPV Model'!$B$54:$C$54</definedName>
    <definedName name="N" localSheetId="1">'NPV Model'!$C$6</definedName>
    <definedName name="N">'Extra in case'!$C$6</definedName>
    <definedName name="Net_Present_Value">'NPV Model'!$B$52:$C$52</definedName>
    <definedName name="NOPLAT">'NPV Model'!$B$38:$H$38</definedName>
    <definedName name="NWC___Recapture">'NPV Model'!$B$47:$H$47</definedName>
    <definedName name="NWC_0" localSheetId="1">'NPV Model'!$C$14</definedName>
    <definedName name="NWC_0">'Extra in case'!$C$14</definedName>
    <definedName name="NWC_to_Sales" localSheetId="1">'NPV Model'!$C$15</definedName>
    <definedName name="NWC_to_Sales">'Extra in case'!$C$15</definedName>
    <definedName name="Operating_Cash_Flow">'NPV Model'!$B$46:$H$46</definedName>
    <definedName name="Payback_Period">'NPV Model'!$B$56:$C$56</definedName>
    <definedName name="Profitability_Index">'NPV Model'!$B$55:$C$55</definedName>
    <definedName name="Rev_unit" localSheetId="1">'NPV Model'!$C$11</definedName>
    <definedName name="Rev_unit">'Extra in case'!$C$11</definedName>
    <definedName name="rr" localSheetId="1">'NPV Model'!$C$18</definedName>
    <definedName name="rr">'Extra in case'!$C$18</definedName>
    <definedName name="Sal" localSheetId="1">'NPV Model'!$C$8</definedName>
    <definedName name="Sal">'Extra in case'!$C$8</definedName>
    <definedName name="Scenario">'NPV Model'!$C$1</definedName>
    <definedName name="Scenario_Table">'NPV Model'!$A$100:$N$126</definedName>
    <definedName name="Tax_Rate" localSheetId="1">'NPV Model'!$C$16</definedName>
    <definedName name="Tax_Rate">'Extra in case'!$C$16</definedName>
    <definedName name="Total_Cash_Flow">'NPV Model'!$B$48:$H$48</definedName>
    <definedName name="VC" localSheetId="1">'NPV Model'!$C$12</definedName>
    <definedName name="VC">'Extra in case'!$C$12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4" i="9" l="1"/>
  <c r="C37" i="9"/>
  <c r="M5" i="9"/>
  <c r="H44" i="9"/>
  <c r="G44" i="9"/>
  <c r="F44" i="9"/>
  <c r="E44" i="9"/>
  <c r="D44" i="9"/>
  <c r="C44" i="9"/>
  <c r="H37" i="9"/>
  <c r="G37" i="9"/>
  <c r="F37" i="9"/>
  <c r="E37" i="9"/>
  <c r="D37" i="9"/>
  <c r="H28" i="9"/>
  <c r="G28" i="9"/>
  <c r="G39" i="9" s="1"/>
  <c r="F28" i="9"/>
  <c r="F39" i="9" s="1"/>
  <c r="E28" i="9"/>
  <c r="E39" i="9" s="1"/>
  <c r="D28" i="9"/>
  <c r="D39" i="9" s="1"/>
  <c r="C7" i="9" l="1"/>
  <c r="D24" i="6"/>
  <c r="E24" i="6"/>
  <c r="F24" i="6" s="1"/>
  <c r="D25" i="6"/>
  <c r="E25" i="6"/>
  <c r="D26" i="6"/>
  <c r="E26" i="6"/>
  <c r="D27" i="6"/>
  <c r="E27" i="6"/>
  <c r="F27" i="6"/>
  <c r="G27" i="6"/>
  <c r="H27" i="6"/>
  <c r="C37" i="6"/>
  <c r="D37" i="6"/>
  <c r="E37" i="6"/>
  <c r="F37" i="6"/>
  <c r="G37" i="6"/>
  <c r="H37" i="6"/>
  <c r="C44" i="6"/>
  <c r="D44" i="6"/>
  <c r="E44" i="6"/>
  <c r="F44" i="6"/>
  <c r="G44" i="6"/>
  <c r="H44" i="6"/>
  <c r="C45" i="6"/>
  <c r="H45" i="6"/>
  <c r="C8" i="9"/>
  <c r="O5" i="9" s="1"/>
  <c r="C9" i="9"/>
  <c r="C10" i="9"/>
  <c r="Q5" i="9" s="1"/>
  <c r="C11" i="9"/>
  <c r="R5" i="9" s="1"/>
  <c r="C12" i="9"/>
  <c r="S5" i="9" s="1"/>
  <c r="C13" i="9"/>
  <c r="T5" i="9" s="1"/>
  <c r="C14" i="9"/>
  <c r="U5" i="9" s="1"/>
  <c r="C15" i="9"/>
  <c r="V5" i="9" s="1"/>
  <c r="C16" i="9"/>
  <c r="W5" i="9" s="1"/>
  <c r="C17" i="9"/>
  <c r="X5" i="9" s="1"/>
  <c r="C18" i="9"/>
  <c r="Y5" i="9" s="1"/>
  <c r="N126" i="9"/>
  <c r="N125" i="9"/>
  <c r="M125" i="9"/>
  <c r="M126" i="9"/>
  <c r="M123" i="9"/>
  <c r="L122" i="9"/>
  <c r="L121" i="9"/>
  <c r="K120" i="9"/>
  <c r="K119" i="9"/>
  <c r="J118" i="9"/>
  <c r="J117" i="9"/>
  <c r="I116" i="9"/>
  <c r="I115" i="9"/>
  <c r="H114" i="9"/>
  <c r="H113" i="9"/>
  <c r="G112" i="9"/>
  <c r="G111" i="9"/>
  <c r="F110" i="9"/>
  <c r="F109" i="9"/>
  <c r="E108" i="9"/>
  <c r="E107" i="9"/>
  <c r="D106" i="9"/>
  <c r="D105" i="9"/>
  <c r="C104" i="9"/>
  <c r="C103" i="9"/>
  <c r="D24" i="9" l="1"/>
  <c r="D25" i="9" s="1"/>
  <c r="D8" i="8" s="1"/>
  <c r="D9" i="8" s="1"/>
  <c r="D11" i="8" s="1"/>
  <c r="P5" i="9"/>
  <c r="C45" i="9"/>
  <c r="N5" i="9"/>
  <c r="H29" i="9"/>
  <c r="H39" i="9" s="1"/>
  <c r="H45" i="9"/>
  <c r="G27" i="9"/>
  <c r="E27" i="9"/>
  <c r="F27" i="9"/>
  <c r="D27" i="9"/>
  <c r="H27" i="9"/>
  <c r="G24" i="6"/>
  <c r="F26" i="6"/>
  <c r="F25" i="6"/>
  <c r="D9" i="7"/>
  <c r="C8" i="8"/>
  <c r="C9" i="8" s="1"/>
  <c r="C11" i="8" s="1"/>
  <c r="D10" i="7"/>
  <c r="D28" i="6" s="1"/>
  <c r="D39" i="6" s="1"/>
  <c r="C47" i="6" l="1"/>
  <c r="C48" i="6" s="1"/>
  <c r="C47" i="9"/>
  <c r="C48" i="9"/>
  <c r="C49" i="9" s="1"/>
  <c r="D26" i="9"/>
  <c r="D30" i="9" s="1"/>
  <c r="E24" i="9"/>
  <c r="E25" i="9" s="1"/>
  <c r="D47" i="6"/>
  <c r="D47" i="9"/>
  <c r="C49" i="6"/>
  <c r="D30" i="6"/>
  <c r="G25" i="6"/>
  <c r="H24" i="6"/>
  <c r="G26" i="6"/>
  <c r="D11" i="7"/>
  <c r="E9" i="7" s="1"/>
  <c r="E10" i="7" s="1"/>
  <c r="E28" i="6" s="1"/>
  <c r="F24" i="9" l="1"/>
  <c r="F26" i="9" s="1"/>
  <c r="E26" i="9"/>
  <c r="E30" i="9" s="1"/>
  <c r="E31" i="9" s="1"/>
  <c r="E32" i="9" s="1"/>
  <c r="E38" i="9" s="1"/>
  <c r="E40" i="9" s="1"/>
  <c r="E46" i="9" s="1"/>
  <c r="D31" i="9"/>
  <c r="D32" i="9" s="1"/>
  <c r="D38" i="9" s="1"/>
  <c r="D40" i="9" s="1"/>
  <c r="D46" i="9" s="1"/>
  <c r="D48" i="9" s="1"/>
  <c r="D49" i="9" s="1"/>
  <c r="H25" i="6"/>
  <c r="H26" i="6"/>
  <c r="E39" i="6"/>
  <c r="E30" i="6"/>
  <c r="D32" i="6"/>
  <c r="D38" i="6" s="1"/>
  <c r="D40" i="6" s="1"/>
  <c r="D46" i="6" s="1"/>
  <c r="D48" i="6" s="1"/>
  <c r="D31" i="6"/>
  <c r="E11" i="7"/>
  <c r="F9" i="7" s="1"/>
  <c r="E8" i="8"/>
  <c r="F25" i="9" l="1"/>
  <c r="F8" i="8" s="1"/>
  <c r="G24" i="9"/>
  <c r="H24" i="9" s="1"/>
  <c r="D50" i="9"/>
  <c r="E31" i="6"/>
  <c r="E32" i="6" s="1"/>
  <c r="E38" i="6" s="1"/>
  <c r="E40" i="6" s="1"/>
  <c r="E46" i="6" s="1"/>
  <c r="D49" i="6"/>
  <c r="E9" i="8"/>
  <c r="E11" i="8" s="1"/>
  <c r="F10" i="7"/>
  <c r="F28" i="6" s="1"/>
  <c r="F30" i="9" l="1"/>
  <c r="F31" i="9" s="1"/>
  <c r="F32" i="9" s="1"/>
  <c r="F38" i="9" s="1"/>
  <c r="F40" i="9" s="1"/>
  <c r="F46" i="9" s="1"/>
  <c r="G26" i="9"/>
  <c r="G25" i="9"/>
  <c r="G8" i="8" s="1"/>
  <c r="G9" i="8" s="1"/>
  <c r="G11" i="8" s="1"/>
  <c r="H26" i="9"/>
  <c r="H25" i="9"/>
  <c r="H8" i="8" s="1"/>
  <c r="H10" i="8" s="1"/>
  <c r="E47" i="6"/>
  <c r="E48" i="6" s="1"/>
  <c r="E49" i="6" s="1"/>
  <c r="E47" i="9"/>
  <c r="E48" i="9" s="1"/>
  <c r="D50" i="6"/>
  <c r="F39" i="6"/>
  <c r="F30" i="6"/>
  <c r="F9" i="8"/>
  <c r="F11" i="8" s="1"/>
  <c r="F11" i="7"/>
  <c r="G9" i="7" s="1"/>
  <c r="G30" i="9" l="1"/>
  <c r="G31" i="9" s="1"/>
  <c r="G32" i="9" s="1"/>
  <c r="G38" i="9" s="1"/>
  <c r="G40" i="9" s="1"/>
  <c r="G46" i="9" s="1"/>
  <c r="H30" i="9"/>
  <c r="H31" i="9" s="1"/>
  <c r="H32" i="9" s="1"/>
  <c r="H38" i="9" s="1"/>
  <c r="H40" i="9" s="1"/>
  <c r="H46" i="9" s="1"/>
  <c r="E49" i="9"/>
  <c r="F47" i="6"/>
  <c r="F47" i="9"/>
  <c r="F48" i="9" s="1"/>
  <c r="G47" i="6"/>
  <c r="G47" i="9"/>
  <c r="F31" i="6"/>
  <c r="F32" i="6" s="1"/>
  <c r="F38" i="6" s="1"/>
  <c r="F40" i="6" s="1"/>
  <c r="F46" i="6" s="1"/>
  <c r="E50" i="6"/>
  <c r="H9" i="8"/>
  <c r="H11" i="8" s="1"/>
  <c r="G10" i="7"/>
  <c r="G28" i="6" s="1"/>
  <c r="G48" i="9" l="1"/>
  <c r="G49" i="9" s="1"/>
  <c r="E50" i="9"/>
  <c r="H47" i="6"/>
  <c r="H47" i="9"/>
  <c r="H48" i="9" s="1"/>
  <c r="F49" i="9"/>
  <c r="F48" i="6"/>
  <c r="G39" i="6"/>
  <c r="G30" i="6"/>
  <c r="G11" i="7"/>
  <c r="H9" i="7" s="1"/>
  <c r="G50" i="9" l="1"/>
  <c r="H49" i="9"/>
  <c r="H50" i="9" s="1"/>
  <c r="F49" i="6"/>
  <c r="F50" i="6" s="1"/>
  <c r="F50" i="9"/>
  <c r="G31" i="6"/>
  <c r="G32" i="6" s="1"/>
  <c r="G38" i="6" s="1"/>
  <c r="G40" i="6" s="1"/>
  <c r="G46" i="6" s="1"/>
  <c r="G48" i="6" s="1"/>
  <c r="G49" i="6" s="1"/>
  <c r="H10" i="7"/>
  <c r="H28" i="6" s="1"/>
  <c r="G50" i="6" l="1"/>
  <c r="H11" i="7"/>
  <c r="H29" i="6" s="1"/>
  <c r="H39" i="6" s="1"/>
  <c r="H30" i="6" l="1"/>
  <c r="H31" i="6" l="1"/>
  <c r="H32" i="6" s="1"/>
  <c r="H38" i="6" s="1"/>
  <c r="H40" i="6" s="1"/>
  <c r="H46" i="6" s="1"/>
  <c r="H48" i="6" s="1"/>
  <c r="H49" i="6" l="1"/>
  <c r="C52" i="6"/>
  <c r="C54" i="6"/>
  <c r="C55" i="6"/>
  <c r="C53" i="6"/>
  <c r="C54" i="9"/>
  <c r="AB5" i="9" s="1"/>
  <c r="C55" i="9"/>
  <c r="AC5" i="9" s="1"/>
  <c r="C56" i="9" a="1"/>
  <c r="C56" i="9" s="1"/>
  <c r="AD5" i="9" s="1"/>
  <c r="C52" i="9"/>
  <c r="Z5" i="9" s="1"/>
  <c r="C53" i="9"/>
  <c r="AA5" i="9" s="1"/>
  <c r="C56" i="6" l="1" a="1"/>
  <c r="C56" i="6" s="1"/>
  <c r="H50" i="6"/>
  <c r="A65" i="9" a="1"/>
  <c r="A65"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<sst xmlns="http://schemas.openxmlformats.org/spreadsheetml/2006/main" count="292" uniqueCount="135">
  <si>
    <t>Capital Cost</t>
  </si>
  <si>
    <t>Year</t>
  </si>
  <si>
    <t xml:space="preserve"> </t>
  </si>
  <si>
    <t>Input Variables</t>
  </si>
  <si>
    <t>Tax Rate</t>
  </si>
  <si>
    <t>Fixed Costs</t>
  </si>
  <si>
    <t>Salvage</t>
  </si>
  <si>
    <t>Variable Costs</t>
  </si>
  <si>
    <t>Initial NWC</t>
  </si>
  <si>
    <t>Revenues</t>
  </si>
  <si>
    <t>EBIT</t>
  </si>
  <si>
    <t>Taxes</t>
  </si>
  <si>
    <t>Required Return</t>
  </si>
  <si>
    <t>Projected Operating Cash Flows</t>
  </si>
  <si>
    <t>N</t>
  </si>
  <si>
    <t>Project Life (years)</t>
  </si>
  <si>
    <t>Sal</t>
  </si>
  <si>
    <t>FC</t>
  </si>
  <si>
    <t>VC</t>
  </si>
  <si>
    <t>Tax_Rate</t>
  </si>
  <si>
    <t>CapEx</t>
  </si>
  <si>
    <t>rr</t>
  </si>
  <si>
    <t>Revenue per Unit</t>
  </si>
  <si>
    <t>Rev_unit</t>
  </si>
  <si>
    <t>Year ending</t>
  </si>
  <si>
    <t>FYS_Vol</t>
  </si>
  <si>
    <t>GR</t>
  </si>
  <si>
    <t>Total Sales Volume</t>
  </si>
  <si>
    <t>Operating Cash Flow</t>
  </si>
  <si>
    <t>Capital Spending / (Salvage)</t>
  </si>
  <si>
    <t>NWC / Recapture</t>
  </si>
  <si>
    <t>Total Cash Flow</t>
  </si>
  <si>
    <t>Net Present Value</t>
  </si>
  <si>
    <t xml:space="preserve">Projected Income Statement </t>
  </si>
  <si>
    <t>Base Case</t>
  </si>
  <si>
    <t>Best Case</t>
  </si>
  <si>
    <t>Worst Case</t>
  </si>
  <si>
    <t>1)  Use Create from Selection to Name Inputs,  Color Inputs Blue</t>
  </si>
  <si>
    <t>First Year Sales Volume</t>
  </si>
  <si>
    <t>Current Inputs to Model</t>
  </si>
  <si>
    <t>Annual Sales Volume Growth Rate</t>
  </si>
  <si>
    <t>2)  Sign convention in Income and Cash Flow Statements:  Use +ve numbers for Revenue or cash inflows in the income statement and cash flow statement</t>
  </si>
  <si>
    <t>and -ve numbers for all expenses or cash outflows directly.  Advantage:  you only have to use the SUM function to calculate subtotals</t>
  </si>
  <si>
    <t>Use conditional formatting to highlight the differences between the various cases</t>
  </si>
  <si>
    <t>9) Create a Case Selection Switch using data validation</t>
  </si>
  <si>
    <t>12) Use Custom Number formatting to improve look of table</t>
  </si>
  <si>
    <t>Symbol</t>
  </si>
  <si>
    <t>5) NPV:  Don't include first cash flow in NPV function; Account for this separately.</t>
  </si>
  <si>
    <t>6)  IRR:  Include all cash flows.  Look NPV and IRR up on Excel is Fun if you don't know exactly how to use them.</t>
  </si>
  <si>
    <t>13) Don't forget to format, document and test your model.</t>
  </si>
  <si>
    <t>Additional Question:</t>
  </si>
  <si>
    <t xml:space="preserve">14) Alt + Enter to insert a line break within a cell </t>
  </si>
  <si>
    <t>Internal Rate of Return</t>
  </si>
  <si>
    <t>Depreciation (see CCA schedule)</t>
  </si>
  <si>
    <t>CCA Rate</t>
  </si>
  <si>
    <t>d</t>
  </si>
  <si>
    <t>CCA Recapture/ Terminal Loss</t>
  </si>
  <si>
    <t>Net operating Profit Less Adjusted Tax (NOPLAT)</t>
  </si>
  <si>
    <t>NOPLAT</t>
  </si>
  <si>
    <t>NWC as a % of Sales</t>
  </si>
  <si>
    <t>NWC_0</t>
  </si>
  <si>
    <t>NWC_to_Sales</t>
  </si>
  <si>
    <t>Add back Depreciation</t>
  </si>
  <si>
    <t>4)  Create a NWC schedule on a separate worksheet - remember you are interested in incremental NWC, don't forget recapture of NWC</t>
  </si>
  <si>
    <t>10) Use vlookup or index/match to transfer the selected case inputs into the model</t>
  </si>
  <si>
    <t>1) What is the most you can pay for the machine and still have a positive profit?  Assume the salvage value remains constant and that all other parameters are set to their base case values.</t>
  </si>
  <si>
    <t>Modified Internal Rate of Return</t>
  </si>
  <si>
    <t>Profitability Index</t>
  </si>
  <si>
    <t>Payback Period</t>
  </si>
  <si>
    <t>7) NPV Profile using one-input data table; Create NPV Profile Chart and indicate the IRR on this chart.</t>
  </si>
  <si>
    <t>6b) Also calculate the MIRR, Profitability Index and the Payback Period.  As far as I know there is no built in payback function - but try to devise a method of automatically calculating this number.</t>
  </si>
  <si>
    <t>11) Use a one-way data table to record all inputs and outputs (NPV, IRR, MIRR, Profitability Index and Payback Period) for each scenario</t>
  </si>
  <si>
    <t>3) Depreciation:  Create a UCC / CCA table, assume the 1/2 year rule is in effect. Note we will assume that the asset is the only one in the asset class - so when we sell it the asset class will be deemed to be closed.</t>
  </si>
  <si>
    <t>Inglis' Arctic Sports</t>
  </si>
  <si>
    <t>2b) The asset is the only asset in the class, therefore use the brute force or table method (not the CCA formula) to solve this problem.  We will have to take into account CCA recapture / Terminal Losses.</t>
  </si>
  <si>
    <t>8) Create a table of scanarios.  I have given you 3 (base, best and worst).  Also, create your own scanarios where you increase or decrease each input 5%. Don't adjust the number of years, Tax Rate, CCA Rate or the Required Return</t>
  </si>
  <si>
    <t>15) Question:  What is the most you can pay for the machine and still have a positive profit?  Assume the salvage value remains constant and that all other parameters are set to their base case values.</t>
  </si>
  <si>
    <t>Inglis' Artic Sports Capital Budgeting Problem</t>
  </si>
  <si>
    <t>Project Free Cash Flows</t>
  </si>
  <si>
    <t>UCC (beg of year)</t>
  </si>
  <si>
    <t>CCA</t>
  </si>
  <si>
    <t>UCC (end of year)</t>
  </si>
  <si>
    <t>1/2 year rule</t>
  </si>
  <si>
    <t>NWC Invested at any point in time</t>
  </si>
  <si>
    <t>Incremental Investment in NWC</t>
  </si>
  <si>
    <t>NWC recapture</t>
  </si>
  <si>
    <t>Total Incremental Investment in NWC</t>
  </si>
  <si>
    <t>Cum Free Cash Flow</t>
  </si>
  <si>
    <t>I would say about $988,008. The reason is that with the base-case inputs and the salvage value fixed, the project’s NPV at the current cost is negative. The break-even point is when the machine price equals the present value of all the inflows and other cash flows. That comes out to around $988,008, meaning you could pay up to this amount and still break even, but you would need to pay slightly less to ensure a positive profit</t>
  </si>
  <si>
    <t xml:space="preserve">Net Present Value Profile </t>
  </si>
  <si>
    <t>Discount Rate %</t>
  </si>
  <si>
    <t>NPV ($)</t>
  </si>
  <si>
    <t xml:space="preserve">Scenario Table </t>
  </si>
  <si>
    <t>Description:</t>
  </si>
  <si>
    <t>High Cap Cost</t>
  </si>
  <si>
    <t>Low Cap Cost</t>
  </si>
  <si>
    <t>High Salvage</t>
  </si>
  <si>
    <t xml:space="preserve">Percent Increase / Decrease </t>
  </si>
  <si>
    <t>High First Year Sales Volume</t>
  </si>
  <si>
    <t>Low Salvage</t>
  </si>
  <si>
    <t>Low First Year Sales Volume</t>
  </si>
  <si>
    <t>High Annual Sales Volume Growth Rate</t>
  </si>
  <si>
    <t>Low Annual Sales Volume Growth Rate</t>
  </si>
  <si>
    <t>High Revenue per Unit</t>
  </si>
  <si>
    <t>Low Revenue per Unit</t>
  </si>
  <si>
    <t>High Variable Costs</t>
  </si>
  <si>
    <t>Low Variable Costs</t>
  </si>
  <si>
    <t>High Fixed Costs</t>
  </si>
  <si>
    <t>Low Fixed Costs</t>
  </si>
  <si>
    <t>High Initial NWC</t>
  </si>
  <si>
    <t>Low Initial NWC</t>
  </si>
  <si>
    <t>High NWC as a % of Sales</t>
  </si>
  <si>
    <t>Low NWC as a % of Sales</t>
  </si>
  <si>
    <t>High Tax Rate</t>
  </si>
  <si>
    <t>Low Tax Rate</t>
  </si>
  <si>
    <t>High CCA Rate</t>
  </si>
  <si>
    <t>Low CCA Rate</t>
  </si>
  <si>
    <t>High Required Return</t>
  </si>
  <si>
    <t>Low Required Return</t>
  </si>
  <si>
    <t>Names</t>
  </si>
  <si>
    <t>Column1</t>
  </si>
  <si>
    <t>Column2</t>
  </si>
  <si>
    <t>Column3</t>
  </si>
  <si>
    <t>Column4</t>
  </si>
  <si>
    <t>Column5</t>
  </si>
  <si>
    <t>Column6</t>
  </si>
  <si>
    <t>Column7</t>
  </si>
  <si>
    <t xml:space="preserve">Scenario Summary Table </t>
  </si>
  <si>
    <t>Name:</t>
  </si>
  <si>
    <t>Talal Malhi (501256062)</t>
  </si>
  <si>
    <t>Date:</t>
  </si>
  <si>
    <t>Objective:</t>
  </si>
  <si>
    <t>Capital Cost Allowance</t>
  </si>
  <si>
    <t>Net Working Capital</t>
  </si>
  <si>
    <t>This workbook is a capital-budgeting model for Inglis’ Arctic Sports that forecasts free cash flows and computes NPV, IRR, MIRR, PI, and payback from a single set of editable inputs (CapEx, sales volume/growth, price, costs, tax, CCA, and required return). It includes an NPV profile and one-variable data tables to test sensitivities (e.g., CapEx, growth, price) so I can see how value changes under different assumptions. The goal is to support a clear go/no-go decision and estimate the maximum machine price we can pay while keeping value non-negative, using transparent, non–hard-coded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</si>
</sst>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164" formatCode="&quot;$&quot;#,##0"/>
    <numFmt numFmtId="165" formatCode="&quot;$&quot;#,##0.00"/>
    <numFmt numFmtId="166" formatCode="0.0%"/>
    <numFmt numFmtId="167" formatCode=";;;"/>
    <numFmt numFmtId="168" formatCode="0.0000"/>
    <numFmt numFmtId="169" formatCode="0.000"/>
    <numFmt numFmtId="171" formatCode="0.0"/>
  </numFmts>
  <fonts count="21" x14ac:knownFonts="1">
    <font>
      <sz val="11"/>
      <color theme="1"/>
      <name val="Calibri"/>
      <family val="2"/>
      <scheme val="minor"/>
    </font>
    <font>
      <sz val="11"/>
      <color theme="1"/>
      <name val="Calibri"/>
      <family val="2"/>
      <scheme val="minor"/>
    </font>
    <font>
      <b/>
      <sz val="11"/>
      <color theme="1"/>
      <name val="Calibri"/>
      <family val="2"/>
      <scheme val="minor"/>
    </font>
    <font>
      <sz val="18"/>
      <color theme="3"/>
      <name val="Cambria"/>
      <family val="2"/>
      <scheme val="major"/>
    </font>
    <font>
      <sz val="11"/>
      <name val="Calibri"/>
      <family val="2"/>
      <scheme val="minor"/>
    </font>
    <font>
      <b/>
      <sz val="11"/>
      <name val="Calibri"/>
      <family val="2"/>
      <scheme val="minor"/>
    </font>
    <font>
      <sz val="11"/>
      <color theme="3" tint="0.39997558519241921"/>
      <name val="Calibri"/>
      <family val="2"/>
      <scheme val="minor"/>
    </font>
    <font>
      <sz val="11"/>
      <color rgb="FFFF00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theme="0" tint="-0.14999847407452621"/>
      <name val="Calibri"/>
      <family val="2"/>
      <scheme val="minor"/>
    </font>
    <font>
      <sz val="11"/>
      <color theme="0" tint="-0.499984740745262"/>
      <name val="Calibri"/>
      <family val="2"/>
      <scheme val="minor"/>
    </font>
    <font>
      <sz val="11"/>
      <color theme="8" tint="-0.249977111117893"/>
      <name val="Calibri"/>
      <family val="2"/>
      <scheme val="minor"/>
    </font>
    <font>
      <b/>
      <sz val="14"/>
      <color theme="1"/>
      <name val="Calibri"/>
      <family val="2"/>
      <scheme val="minor"/>
    </font>
    <font>
      <sz val="11"/>
      <color theme="9" tint="0.59999389629810485"/>
      <name val="Calibri"/>
      <family val="2"/>
      <scheme val="minor"/>
    </font>
    <font>
      <b/>
      <sz val="18"/>
      <color theme="1"/>
      <name val="Cambria"/>
      <family val="2"/>
      <scheme val="major"/>
    </font>
    <font>
      <b/>
      <sz val="18"/>
      <color theme="3" tint="-0.499984740745262"/>
      <name val="Cambria"/>
      <family val="2"/>
      <scheme val="major"/>
    </font>
    <font>
      <sz val="11"/>
      <color theme="3" tint="-0.499984740745262"/>
      <name val="Calibri"/>
      <family val="2"/>
      <scheme val="minor"/>
    </font>
    <font>
      <b/>
      <sz val="11"/>
      <color theme="1" tint="0.14999847407452621"/>
      <name val="Calibri"/>
      <family val="2"/>
      <scheme val="minor"/>
    </font>
    <font>
      <b/>
      <sz val="11"/>
      <color theme="3" tint="0.39997558519241921"/>
      <name val="Calibri"/>
      <family val="2"/>
      <scheme val="minor"/>
    </font>
  </fonts>
  <fills count="19">
    <fill>
      <patternFill patternType="none"/>
    </fill>
    <fill>
      <patternFill patternType="gray125"/>
    </fill>
    <fill>
      <patternFill patternType="solid">
        <fgColor theme="8" tint="0.39997558519241921"/>
        <bgColor indexed="65"/>
      </patternFill>
    </fill>
    <fill>
      <patternFill patternType="solid">
        <fgColor rgb="FFFFFF0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5" tint="0.59999389629810485"/>
        <bgColor theme="5" tint="0.79998168889431442"/>
      </patternFill>
    </fill>
    <fill>
      <patternFill patternType="solid">
        <fgColor theme="3" tint="0.399975585192419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5" tint="0.39997558519241921"/>
        <bgColor theme="5"/>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2" tint="-0.249977111117893"/>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theme="8"/>
      </right>
      <top style="thin">
        <color indexed="64"/>
      </top>
      <bottom style="double">
        <color indexed="64"/>
      </bottom>
      <diagonal/>
    </border>
    <border>
      <left style="thin">
        <color theme="8"/>
      </left>
      <right style="thin">
        <color theme="8"/>
      </right>
      <top style="thin">
        <color theme="8"/>
      </top>
      <bottom style="thin">
        <color theme="8"/>
      </bottom>
      <diagonal/>
    </border>
    <border>
      <left style="thin">
        <color theme="5" tint="0.39997558519241921"/>
      </left>
      <right/>
      <top style="thin">
        <color theme="5" tint="0.39997558519241921"/>
      </top>
      <bottom style="thin">
        <color theme="5" tint="0.39997558519241921"/>
      </bottom>
      <diagonal/>
    </border>
    <border>
      <left style="thin">
        <color theme="5" tint="0.39997558519241921"/>
      </left>
      <right/>
      <top style="thin">
        <color theme="5" tint="0.39997558519241921"/>
      </top>
      <bottom style="double">
        <color indexed="64"/>
      </bottom>
      <diagonal/>
    </border>
  </borders>
  <cellStyleXfs count="7">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 fillId="2" borderId="0" applyNumberFormat="0" applyBorder="0" applyAlignment="0" applyProtection="0"/>
  </cellStyleXfs>
  <cellXfs count="153">
    <xf numFmtId="0" fontId="0" fillId="0" borderId="0" xfId="0"/>
    <xf numFmtId="0" fontId="2" fillId="0" borderId="0" xfId="0" applyFont="1"/>
    <xf numFmtId="0" fontId="3" fillId="0" borderId="0" xfId="2"/>
    <xf numFmtId="164" fontId="0" fillId="0" borderId="0" xfId="0" applyNumberFormat="1"/>
    <xf numFmtId="9" fontId="0" fillId="0" borderId="0" xfId="0" applyNumberFormat="1"/>
    <xf numFmtId="3" fontId="0" fillId="0" borderId="0" xfId="0" applyNumberFormat="1"/>
    <xf numFmtId="3" fontId="2" fillId="0" borderId="0" xfId="0" applyNumberFormat="1" applyFont="1"/>
    <xf numFmtId="167" fontId="0" fillId="0" borderId="0" xfId="0" applyNumberFormat="1"/>
    <xf numFmtId="0" fontId="2" fillId="0" borderId="0" xfId="0" applyFont="1" applyAlignment="1">
      <alignment wrapText="1"/>
    </xf>
    <xf numFmtId="166" fontId="0" fillId="0" borderId="0" xfId="1" applyNumberFormat="1" applyFont="1"/>
    <xf numFmtId="164" fontId="4" fillId="0" borderId="0" xfId="0" applyNumberFormat="1" applyFont="1"/>
    <xf numFmtId="0" fontId="4" fillId="0" borderId="0" xfId="0" applyFont="1"/>
    <xf numFmtId="10" fontId="4" fillId="0" borderId="0" xfId="0" applyNumberFormat="1" applyFont="1"/>
    <xf numFmtId="0" fontId="3" fillId="0" borderId="0" xfId="2" applyFill="1"/>
    <xf numFmtId="167" fontId="2" fillId="0" borderId="0" xfId="0" applyNumberFormat="1" applyFont="1"/>
    <xf numFmtId="167" fontId="0" fillId="0" borderId="0" xfId="1" applyNumberFormat="1" applyFont="1" applyFill="1"/>
    <xf numFmtId="1" fontId="2" fillId="0" borderId="0" xfId="0" applyNumberFormat="1" applyFont="1"/>
    <xf numFmtId="164" fontId="2" fillId="0" borderId="0" xfId="0" applyNumberFormat="1" applyFont="1"/>
    <xf numFmtId="10" fontId="2" fillId="0" borderId="0" xfId="0" applyNumberFormat="1" applyFont="1"/>
    <xf numFmtId="10" fontId="2" fillId="0" borderId="0" xfId="1" applyNumberFormat="1" applyFont="1" applyFill="1"/>
    <xf numFmtId="2" fontId="2" fillId="0" borderId="0" xfId="0" applyNumberFormat="1" applyFont="1"/>
    <xf numFmtId="1" fontId="0" fillId="0" borderId="0" xfId="0" applyNumberFormat="1"/>
    <xf numFmtId="10" fontId="0" fillId="0" borderId="0" xfId="0" applyNumberFormat="1"/>
    <xf numFmtId="10" fontId="0" fillId="0" borderId="0" xfId="1" applyNumberFormat="1" applyFont="1" applyFill="1"/>
    <xf numFmtId="2" fontId="0" fillId="0" borderId="0" xfId="0" applyNumberFormat="1"/>
    <xf numFmtId="1" fontId="4" fillId="0" borderId="0" xfId="0" applyNumberFormat="1" applyFont="1"/>
    <xf numFmtId="0" fontId="6" fillId="0" borderId="0" xfId="0" applyFont="1"/>
    <xf numFmtId="10" fontId="6" fillId="0" borderId="0" xfId="0" applyNumberFormat="1" applyFont="1"/>
    <xf numFmtId="164" fontId="6" fillId="0" borderId="0" xfId="0" applyNumberFormat="1" applyFont="1"/>
    <xf numFmtId="9" fontId="6" fillId="0" borderId="0" xfId="0" applyNumberFormat="1" applyFont="1"/>
    <xf numFmtId="168" fontId="0" fillId="0" borderId="0" xfId="0" applyNumberFormat="1"/>
    <xf numFmtId="166" fontId="0" fillId="0" borderId="0" xfId="0" applyNumberFormat="1"/>
    <xf numFmtId="164" fontId="7" fillId="0" borderId="0" xfId="0" applyNumberFormat="1" applyFont="1"/>
    <xf numFmtId="164" fontId="5" fillId="0" borderId="0" xfId="0" applyNumberFormat="1" applyFont="1" applyAlignment="1">
      <alignment wrapText="1"/>
    </xf>
    <xf numFmtId="0" fontId="0" fillId="4" borderId="0" xfId="0" applyFill="1"/>
    <xf numFmtId="0" fontId="0" fillId="5" borderId="6" xfId="0" applyFill="1" applyBorder="1"/>
    <xf numFmtId="0" fontId="0" fillId="5" borderId="0" xfId="0" applyFill="1" applyBorder="1"/>
    <xf numFmtId="0" fontId="3" fillId="5" borderId="10" xfId="2" applyFill="1" applyBorder="1"/>
    <xf numFmtId="0" fontId="3" fillId="5" borderId="12" xfId="2" applyFill="1" applyBorder="1"/>
    <xf numFmtId="0" fontId="3" fillId="5" borderId="0" xfId="2" applyFill="1" applyBorder="1"/>
    <xf numFmtId="0" fontId="0" fillId="5" borderId="13" xfId="0" applyFill="1" applyBorder="1"/>
    <xf numFmtId="0" fontId="9" fillId="5" borderId="14" xfId="4" applyFill="1" applyBorder="1"/>
    <xf numFmtId="0" fontId="0" fillId="5" borderId="12" xfId="0" applyFill="1" applyBorder="1"/>
    <xf numFmtId="0" fontId="2" fillId="5" borderId="15" xfId="0" applyFont="1" applyFill="1" applyBorder="1"/>
    <xf numFmtId="0" fontId="2" fillId="5" borderId="4" xfId="0" applyFont="1" applyFill="1" applyBorder="1"/>
    <xf numFmtId="0" fontId="2" fillId="5" borderId="16" xfId="0" applyFont="1" applyFill="1" applyBorder="1"/>
    <xf numFmtId="0" fontId="0" fillId="6" borderId="0" xfId="0" applyFill="1" applyBorder="1"/>
    <xf numFmtId="0" fontId="0" fillId="6" borderId="13" xfId="0" applyFill="1" applyBorder="1"/>
    <xf numFmtId="164" fontId="0" fillId="6" borderId="0" xfId="0" applyNumberFormat="1" applyFill="1" applyBorder="1"/>
    <xf numFmtId="164" fontId="0" fillId="6" borderId="13" xfId="0" applyNumberFormat="1" applyFill="1" applyBorder="1"/>
    <xf numFmtId="164" fontId="7" fillId="6" borderId="0" xfId="0" applyNumberFormat="1" applyFont="1" applyFill="1" applyBorder="1"/>
    <xf numFmtId="164" fontId="7" fillId="6" borderId="13" xfId="0" applyNumberFormat="1" applyFont="1" applyFill="1" applyBorder="1"/>
    <xf numFmtId="164" fontId="2" fillId="6" borderId="10" xfId="0" applyNumberFormat="1" applyFont="1" applyFill="1" applyBorder="1"/>
    <xf numFmtId="164" fontId="2" fillId="6" borderId="11" xfId="0" applyNumberFormat="1" applyFont="1" applyFill="1" applyBorder="1"/>
    <xf numFmtId="164" fontId="0" fillId="6" borderId="4" xfId="0" applyNumberFormat="1" applyFill="1" applyBorder="1"/>
    <xf numFmtId="164" fontId="0" fillId="6" borderId="16" xfId="0" applyNumberFormat="1" applyFill="1" applyBorder="1"/>
    <xf numFmtId="164" fontId="2" fillId="6" borderId="5" xfId="0" applyNumberFormat="1" applyFont="1" applyFill="1" applyBorder="1"/>
    <xf numFmtId="164" fontId="2" fillId="6" borderId="8" xfId="0" applyNumberFormat="1" applyFont="1" applyFill="1" applyBorder="1"/>
    <xf numFmtId="0" fontId="14" fillId="6" borderId="0" xfId="0" applyFont="1" applyFill="1" applyBorder="1"/>
    <xf numFmtId="0" fontId="15" fillId="6" borderId="0" xfId="0" applyFont="1" applyFill="1" applyBorder="1"/>
    <xf numFmtId="0" fontId="15" fillId="6" borderId="13" xfId="0" applyFont="1" applyFill="1" applyBorder="1"/>
    <xf numFmtId="0" fontId="0" fillId="8" borderId="18" xfId="0" applyFont="1" applyFill="1" applyBorder="1"/>
    <xf numFmtId="0" fontId="0" fillId="8" borderId="0" xfId="0" applyFill="1"/>
    <xf numFmtId="168" fontId="0" fillId="8" borderId="0" xfId="0" applyNumberFormat="1" applyFill="1"/>
    <xf numFmtId="164" fontId="0" fillId="8" borderId="0" xfId="0" applyNumberFormat="1" applyFill="1"/>
    <xf numFmtId="164" fontId="2" fillId="8" borderId="0" xfId="0" applyNumberFormat="1" applyFont="1" applyFill="1"/>
    <xf numFmtId="0" fontId="0" fillId="9" borderId="0" xfId="0" applyFill="1"/>
    <xf numFmtId="164" fontId="0" fillId="9" borderId="0" xfId="0" applyNumberFormat="1" applyFill="1"/>
    <xf numFmtId="164" fontId="7" fillId="9" borderId="0" xfId="0" applyNumberFormat="1" applyFont="1" applyFill="1"/>
    <xf numFmtId="0" fontId="18" fillId="10" borderId="19" xfId="0" applyFont="1" applyFill="1" applyBorder="1"/>
    <xf numFmtId="0" fontId="1" fillId="2" borderId="6" xfId="6" applyBorder="1"/>
    <xf numFmtId="0" fontId="3" fillId="3" borderId="0" xfId="2" applyFill="1" applyBorder="1"/>
    <xf numFmtId="0" fontId="0" fillId="0" borderId="0" xfId="0" applyAlignment="1">
      <alignment wrapText="1"/>
    </xf>
    <xf numFmtId="0" fontId="2" fillId="3" borderId="0" xfId="0" applyFont="1" applyFill="1"/>
    <xf numFmtId="0" fontId="0" fillId="3" borderId="0" xfId="0" applyFill="1" applyAlignment="1">
      <alignment wrapText="1"/>
    </xf>
    <xf numFmtId="164" fontId="2" fillId="3" borderId="0" xfId="0" applyNumberFormat="1" applyFont="1" applyFill="1"/>
    <xf numFmtId="0" fontId="3" fillId="12" borderId="0" xfId="2" applyFill="1"/>
    <xf numFmtId="0" fontId="0" fillId="12" borderId="0" xfId="0" applyFill="1"/>
    <xf numFmtId="9" fontId="0" fillId="12" borderId="0" xfId="0" applyNumberFormat="1" applyFill="1"/>
    <xf numFmtId="0" fontId="4" fillId="12" borderId="0" xfId="0" applyFont="1" applyFill="1"/>
    <xf numFmtId="164" fontId="0" fillId="12" borderId="0" xfId="0" applyNumberFormat="1" applyFill="1"/>
    <xf numFmtId="10" fontId="4" fillId="12" borderId="0" xfId="0" applyNumberFormat="1" applyFont="1" applyFill="1"/>
    <xf numFmtId="164" fontId="4" fillId="12" borderId="0" xfId="0" applyNumberFormat="1" applyFont="1" applyFill="1"/>
    <xf numFmtId="10" fontId="0" fillId="12" borderId="0" xfId="0" applyNumberFormat="1" applyFill="1"/>
    <xf numFmtId="0" fontId="8" fillId="12" borderId="1" xfId="3" applyFill="1"/>
    <xf numFmtId="0" fontId="9" fillId="12" borderId="2" xfId="4" applyFill="1"/>
    <xf numFmtId="0" fontId="10" fillId="12" borderId="3" xfId="5" applyFill="1"/>
    <xf numFmtId="9" fontId="9" fillId="12" borderId="2" xfId="4" applyNumberFormat="1" applyFill="1"/>
    <xf numFmtId="0" fontId="0" fillId="12" borderId="0" xfId="0" applyFill="1" applyBorder="1"/>
    <xf numFmtId="0" fontId="19" fillId="12" borderId="0" xfId="0" applyFont="1" applyFill="1" applyBorder="1"/>
    <xf numFmtId="0" fontId="9" fillId="12" borderId="0" xfId="4" applyFill="1" applyBorder="1"/>
    <xf numFmtId="0" fontId="19" fillId="12" borderId="6" xfId="0" applyFont="1" applyFill="1" applyBorder="1"/>
    <xf numFmtId="6" fontId="12" fillId="12" borderId="6" xfId="0" applyNumberFormat="1" applyFont="1" applyFill="1" applyBorder="1"/>
    <xf numFmtId="9" fontId="19" fillId="12" borderId="6" xfId="0" applyNumberFormat="1" applyFont="1" applyFill="1" applyBorder="1"/>
    <xf numFmtId="6" fontId="13" fillId="12" borderId="6" xfId="0" applyNumberFormat="1" applyFont="1" applyFill="1" applyBorder="1"/>
    <xf numFmtId="0" fontId="9" fillId="9" borderId="2" xfId="4" applyFill="1"/>
    <xf numFmtId="0" fontId="9" fillId="10" borderId="2" xfId="4" applyFill="1"/>
    <xf numFmtId="0" fontId="9" fillId="8" borderId="2" xfId="4" applyFill="1"/>
    <xf numFmtId="0" fontId="9" fillId="2" borderId="6" xfId="4" applyFill="1" applyBorder="1"/>
    <xf numFmtId="164" fontId="2" fillId="2" borderId="6" xfId="6" applyNumberFormat="1" applyFont="1" applyBorder="1"/>
    <xf numFmtId="166" fontId="2" fillId="2" borderId="6" xfId="6" applyNumberFormat="1" applyFont="1" applyBorder="1"/>
    <xf numFmtId="2" fontId="2" fillId="2" borderId="6" xfId="6" applyNumberFormat="1" applyFont="1" applyBorder="1"/>
    <xf numFmtId="0" fontId="3" fillId="13" borderId="7" xfId="0" applyFont="1" applyFill="1" applyBorder="1"/>
    <xf numFmtId="0" fontId="17" fillId="14" borderId="17" xfId="2" applyFont="1" applyFill="1" applyBorder="1"/>
    <xf numFmtId="0" fontId="16" fillId="15" borderId="20" xfId="2" applyFont="1" applyFill="1" applyBorder="1"/>
    <xf numFmtId="0" fontId="8" fillId="7" borderId="1" xfId="3" applyFill="1"/>
    <xf numFmtId="0" fontId="3" fillId="16" borderId="0" xfId="2" applyFill="1"/>
    <xf numFmtId="0" fontId="0" fillId="16" borderId="0" xfId="0" applyFill="1"/>
    <xf numFmtId="167" fontId="0" fillId="16" borderId="0" xfId="0" applyNumberFormat="1" applyFill="1"/>
    <xf numFmtId="167" fontId="0" fillId="16" borderId="0" xfId="1" applyNumberFormat="1" applyFont="1" applyFill="1"/>
    <xf numFmtId="0" fontId="9" fillId="16" borderId="2" xfId="4" applyFill="1"/>
    <xf numFmtId="0" fontId="11" fillId="16" borderId="0" xfId="0" applyFont="1" applyFill="1"/>
    <xf numFmtId="164" fontId="11" fillId="16" borderId="0" xfId="0" applyNumberFormat="1" applyFont="1" applyFill="1"/>
    <xf numFmtId="166" fontId="11" fillId="16" borderId="0" xfId="0" applyNumberFormat="1" applyFont="1" applyFill="1"/>
    <xf numFmtId="2" fontId="11" fillId="16" borderId="0" xfId="0" applyNumberFormat="1" applyFont="1" applyFill="1"/>
    <xf numFmtId="0" fontId="19" fillId="16" borderId="0" xfId="0" applyFont="1" applyFill="1"/>
    <xf numFmtId="0" fontId="2" fillId="16" borderId="0" xfId="0" applyFont="1" applyFill="1"/>
    <xf numFmtId="0" fontId="2" fillId="8" borderId="0" xfId="0" applyFont="1" applyFill="1"/>
    <xf numFmtId="1" fontId="2" fillId="8" borderId="0" xfId="0" applyNumberFormat="1" applyFont="1" applyFill="1"/>
    <xf numFmtId="0" fontId="2" fillId="9" borderId="0" xfId="0" applyFont="1" applyFill="1"/>
    <xf numFmtId="164" fontId="2" fillId="9" borderId="10" xfId="0" applyNumberFormat="1" applyFont="1" applyFill="1" applyBorder="1"/>
    <xf numFmtId="164" fontId="2" fillId="9" borderId="0" xfId="0" applyNumberFormat="1" applyFont="1" applyFill="1" applyBorder="1"/>
    <xf numFmtId="0" fontId="0" fillId="9" borderId="0" xfId="0" applyFill="1" applyBorder="1"/>
    <xf numFmtId="2" fontId="2" fillId="9" borderId="0" xfId="0" applyNumberFormat="1" applyFont="1" applyFill="1" applyBorder="1"/>
    <xf numFmtId="164" fontId="2" fillId="16" borderId="0" xfId="0" applyNumberFormat="1" applyFont="1" applyFill="1"/>
    <xf numFmtId="164" fontId="0" fillId="16" borderId="0" xfId="0" applyNumberFormat="1" applyFill="1"/>
    <xf numFmtId="10" fontId="2" fillId="16" borderId="0" xfId="0" applyNumberFormat="1" applyFont="1" applyFill="1"/>
    <xf numFmtId="10" fontId="0" fillId="16" borderId="0" xfId="0" applyNumberFormat="1" applyFill="1"/>
    <xf numFmtId="0" fontId="20" fillId="5" borderId="6" xfId="0" applyFont="1" applyFill="1" applyBorder="1"/>
    <xf numFmtId="164" fontId="20" fillId="5" borderId="6" xfId="0" applyNumberFormat="1" applyFont="1" applyFill="1" applyBorder="1"/>
    <xf numFmtId="10" fontId="20" fillId="5" borderId="6" xfId="0" applyNumberFormat="1" applyFont="1" applyFill="1" applyBorder="1"/>
    <xf numFmtId="9" fontId="20" fillId="5" borderId="6" xfId="0" applyNumberFormat="1" applyFont="1" applyFill="1" applyBorder="1"/>
    <xf numFmtId="2" fontId="2" fillId="16" borderId="0" xfId="0" applyNumberFormat="1" applyFont="1" applyFill="1"/>
    <xf numFmtId="2" fontId="0" fillId="16" borderId="0" xfId="0" applyNumberFormat="1" applyFill="1"/>
    <xf numFmtId="171" fontId="2" fillId="16" borderId="0" xfId="0" applyNumberFormat="1" applyFont="1" applyFill="1"/>
    <xf numFmtId="171" fontId="0" fillId="16" borderId="0" xfId="0" applyNumberFormat="1" applyFill="1"/>
    <xf numFmtId="14" fontId="0" fillId="0" borderId="0" xfId="0" applyNumberFormat="1"/>
    <xf numFmtId="0" fontId="3" fillId="4" borderId="9" xfId="2" applyFill="1" applyBorder="1"/>
    <xf numFmtId="0" fontId="9" fillId="4" borderId="2" xfId="4" applyFill="1"/>
    <xf numFmtId="0" fontId="10" fillId="4" borderId="3" xfId="5" applyFill="1"/>
    <xf numFmtId="169" fontId="10" fillId="4" borderId="3" xfId="5" applyNumberFormat="1" applyFill="1"/>
    <xf numFmtId="0" fontId="10" fillId="11" borderId="3" xfId="5" applyFill="1"/>
    <xf numFmtId="169" fontId="10" fillId="11" borderId="3" xfId="5" applyNumberFormat="1" applyFill="1"/>
    <xf numFmtId="0" fontId="3" fillId="11" borderId="0" xfId="2" applyFill="1"/>
    <xf numFmtId="0" fontId="0" fillId="11" borderId="0" xfId="0" applyFill="1"/>
    <xf numFmtId="0" fontId="0" fillId="17" borderId="0" xfId="0" applyFill="1"/>
    <xf numFmtId="0" fontId="9" fillId="17" borderId="2" xfId="4" applyFill="1"/>
    <xf numFmtId="0" fontId="10" fillId="17" borderId="3" xfId="5" applyFill="1"/>
    <xf numFmtId="0" fontId="3" fillId="18" borderId="0" xfId="2" applyFill="1"/>
    <xf numFmtId="0" fontId="0" fillId="18" borderId="0" xfId="0" applyFill="1"/>
    <xf numFmtId="0" fontId="10" fillId="18" borderId="3" xfId="5" applyFill="1"/>
    <xf numFmtId="0" fontId="9" fillId="6" borderId="2" xfId="4" applyFont="1" applyFill="1"/>
    <xf numFmtId="0" fontId="1" fillId="0" borderId="0" xfId="0" applyFont="1"/>
  </cellXfs>
  <cellStyles count="7">
    <cellStyle name="60% - Accent5" xfId="6" builtinId="48"/>
    <cellStyle name="Heading 1" xfId="3" builtinId="16"/>
    <cellStyle name="Heading 2" xfId="4" builtinId="17"/>
    <cellStyle name="Heading 3" xfId="5" builtinId="18"/>
    <cellStyle name="Normal" xfId="0" builtinId="0"/>
    <cellStyle name="Percent" xfId="1" builtinId="5"/>
    <cellStyle name="Title" xfId="2" builtinId="15"/>
  </cellStyles>
  <dxfs count="41">
    <dxf>
      <font>
        <color theme="7" tint="-0.499984740745262"/>
      </font>
      <fill>
        <patternFill>
          <bgColor theme="8" tint="0.39994506668294322"/>
        </patternFill>
      </fill>
    </dxf>
    <dxf>
      <font>
        <color theme="7" tint="-0.499984740745262"/>
      </font>
      <fill>
        <patternFill>
          <bgColor theme="8" tint="0.39994506668294322"/>
        </patternFill>
      </fill>
    </dxf>
    <dxf>
      <font>
        <color theme="7" tint="-0.499984740745262"/>
      </font>
      <fill>
        <patternFill>
          <bgColor theme="8" tint="0.39994506668294322"/>
        </patternFill>
      </fill>
    </dxf>
    <dxf>
      <font>
        <color theme="9" tint="-0.24994659260841701"/>
      </font>
    </dxf>
    <dxf>
      <font>
        <color theme="6" tint="-0.24994659260841701"/>
      </font>
    </dxf>
    <dxf>
      <font>
        <color theme="7" tint="-0.499984740745262"/>
      </font>
      <fill>
        <patternFill>
          <bgColor theme="8" tint="0.39994506668294322"/>
        </patternFill>
      </fill>
    </dxf>
    <dxf>
      <font>
        <color theme="7" tint="-0.499984740745262"/>
      </font>
      <fill>
        <patternFill>
          <bgColor theme="8" tint="0.39994506668294322"/>
        </patternFill>
      </fill>
    </dxf>
    <dxf>
      <font>
        <color theme="7" tint="-0.499984740745262"/>
      </font>
      <fill>
        <patternFill>
          <bgColor theme="8" tint="0.39994506668294322"/>
        </patternFill>
      </fill>
    </dxf>
    <dxf>
      <font>
        <color theme="9" tint="-0.24994659260841701"/>
      </font>
    </dxf>
    <dxf>
      <font>
        <color theme="6" tint="-0.24994659260841701"/>
      </font>
    </dxf>
    <dxf>
      <font>
        <color theme="7" tint="-0.499984740745262"/>
      </font>
      <fill>
        <patternFill>
          <bgColor theme="8" tint="0.39994506668294322"/>
        </patternFill>
      </fill>
    </dxf>
    <dxf>
      <font>
        <color theme="7" tint="-0.499984740745262"/>
      </font>
      <fill>
        <patternFill>
          <bgColor theme="8" tint="0.39994506668294322"/>
        </patternFill>
      </fill>
    </dxf>
    <dxf>
      <font>
        <color theme="7" tint="-0.499984740745262"/>
      </font>
      <fill>
        <patternFill>
          <bgColor theme="8" tint="0.39994506668294322"/>
        </patternFill>
      </fill>
    </dxf>
    <dxf>
      <font>
        <color theme="9" tint="-0.24994659260841701"/>
      </font>
    </dxf>
    <dxf>
      <font>
        <color theme="6" tint="-0.24994659260841701"/>
      </font>
    </dxf>
    <dxf>
      <font>
        <color theme="9" tint="-0.24994659260841701"/>
      </font>
    </dxf>
    <dxf>
      <font>
        <color theme="6" tint="-0.24994659260841701"/>
      </font>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border diagonalUp="0" diagonalDown="0">
        <left style="thin">
          <color theme="5" tint="0.39997558519241921"/>
        </left>
        <right/>
        <top style="thin">
          <color theme="5" tint="0.39997558519241921"/>
        </top>
        <bottom style="thin">
          <color theme="5" tint="0.39997558519241921"/>
        </bottom>
        <vertical/>
        <horizontal/>
      </border>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border diagonalUp="0" diagonalDown="0" outline="0">
        <left style="thin">
          <color theme="8"/>
        </left>
        <right style="thin">
          <color theme="8"/>
        </right>
        <top style="thin">
          <color theme="8"/>
        </top>
        <bottom style="thin">
          <color theme="8"/>
        </bottom>
      </border>
    </dxf>
    <dxf>
      <fill>
        <patternFill patternType="solid">
          <fgColor indexed="64"/>
          <bgColor theme="6" tint="0.59999389629810485"/>
        </patternFill>
      </fill>
    </dxf>
    <dxf>
      <numFmt numFmtId="168" formatCode="0.0000"/>
      <fill>
        <patternFill patternType="solid">
          <fgColor indexed="64"/>
          <bgColor theme="6"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border diagonalUp="0" diagonalDown="0">
        <left/>
        <right/>
        <top style="thin">
          <color indexed="64"/>
        </top>
        <bottom style="thin">
          <color indexed="64"/>
        </bottom>
        <vertical/>
        <horizontal/>
      </border>
    </dxf>
    <dxf>
      <border outline="0">
        <left style="thin">
          <color indexed="64"/>
        </left>
        <top style="thin">
          <color indexed="64"/>
        </top>
      </border>
    </dxf>
    <dxf>
      <fill>
        <patternFill patternType="solid">
          <fgColor indexed="64"/>
          <bgColor theme="9" tint="0.59999389629810485"/>
        </patternFill>
      </fill>
    </dxf>
    <dxf>
      <numFmt numFmtId="168" formatCode="0.0000"/>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168" formatCode="0.0000"/>
      <fill>
        <patternFill patternType="solid">
          <fgColor indexed="64"/>
          <bgColor theme="4" tint="0.59999389629810485"/>
        </patternFill>
      </fill>
    </dxf>
    <dxf>
      <numFmt numFmtId="168" formatCode="0.0000"/>
      <fill>
        <patternFill patternType="solid">
          <fgColor indexed="64"/>
          <bgColor theme="4" tint="0.59999389629810485"/>
        </patternFill>
      </fill>
    </dxf>
    <dxf>
      <numFmt numFmtId="168" formatCode="0.0000"/>
      <fill>
        <patternFill patternType="solid">
          <fgColor indexed="64"/>
          <bgColor theme="4" tint="0.59999389629810485"/>
        </patternFill>
      </fill>
    </dxf>
    <dxf>
      <numFmt numFmtId="168" formatCode="0.0000"/>
      <fill>
        <patternFill patternType="solid">
          <fgColor indexed="64"/>
          <bgColor theme="4" tint="0.59999389629810485"/>
        </patternFill>
      </fill>
    </dxf>
    <dxf>
      <numFmt numFmtId="168" formatCode="0.0000"/>
      <fill>
        <patternFill patternType="solid">
          <fgColor indexed="64"/>
          <bgColor theme="4" tint="0.59999389629810485"/>
        </patternFill>
      </fill>
    </dxf>
  </dxfs>
  <tableStyles count="0" defaultTableStyle="TableStyleMedium2" defaultPivotStyle="PivotStyleLight16"/>
  <colors>
    <mruColors>
      <color rgb="FFFFFFCC"/>
      <color rgb="FF0000FF"/>
      <color rgb="FF00CC66"/>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Net Present Value Profile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NPV Profile</c:v>
          </c:tx>
          <c:spPr>
            <a:ln w="19050" cap="rnd">
              <a:solidFill>
                <a:schemeClr val="accent1"/>
              </a:solidFill>
              <a:round/>
            </a:ln>
            <a:effectLst/>
          </c:spPr>
          <c:marker>
            <c:symbol val="none"/>
          </c:marker>
          <c:dPt>
            <c:idx val="7"/>
            <c:marker>
              <c:symbol val="none"/>
            </c:marker>
            <c:bubble3D val="0"/>
            <c:extLst>
              <c:ext xmlns:c16="http://schemas.microsoft.com/office/drawing/2014/chart" uri="{C3380CC4-5D6E-409C-BE32-E72D297353CC}">
                <c16:uniqueId val="{00000003-A407-4A5C-AD30-2A2F274EEF70}"/>
              </c:ext>
            </c:extLst>
          </c:dPt>
          <c:xVal>
            <c:numRef>
              <c:f>'NPV Model'!$A$66:$A$91</c:f>
              <c:numCache>
                <c:formatCode>0%</c:formatCode>
                <c:ptCount val="26"/>
                <c:pt idx="0">
                  <c:v>0</c:v>
                </c:pt>
                <c:pt idx="1">
                  <c:v>0.02</c:v>
                </c:pt>
                <c:pt idx="2">
                  <c:v>0.04</c:v>
                </c:pt>
                <c:pt idx="3">
                  <c:v>0.06</c:v>
                </c:pt>
                <c:pt idx="4">
                  <c:v>0.08</c:v>
                </c:pt>
                <c:pt idx="5">
                  <c:v>0.1</c:v>
                </c:pt>
                <c:pt idx="6">
                  <c:v>0.12</c:v>
                </c:pt>
                <c:pt idx="7">
                  <c:v>0.14000000000000001</c:v>
                </c:pt>
                <c:pt idx="8">
                  <c:v>0.16</c:v>
                </c:pt>
                <c:pt idx="9">
                  <c:v>0.18</c:v>
                </c:pt>
                <c:pt idx="10">
                  <c:v>0.2</c:v>
                </c:pt>
                <c:pt idx="11">
                  <c:v>0.22</c:v>
                </c:pt>
                <c:pt idx="12">
                  <c:v>0.24</c:v>
                </c:pt>
                <c:pt idx="13">
                  <c:v>0.26</c:v>
                </c:pt>
                <c:pt idx="14">
                  <c:v>0.28000000000000003</c:v>
                </c:pt>
                <c:pt idx="15">
                  <c:v>0.3</c:v>
                </c:pt>
                <c:pt idx="16">
                  <c:v>0.32</c:v>
                </c:pt>
                <c:pt idx="17">
                  <c:v>0.34</c:v>
                </c:pt>
                <c:pt idx="18">
                  <c:v>0.36</c:v>
                </c:pt>
                <c:pt idx="19">
                  <c:v>0.38</c:v>
                </c:pt>
                <c:pt idx="20">
                  <c:v>0.4</c:v>
                </c:pt>
                <c:pt idx="21">
                  <c:v>0.42</c:v>
                </c:pt>
                <c:pt idx="22">
                  <c:v>0.44</c:v>
                </c:pt>
                <c:pt idx="23">
                  <c:v>0.46</c:v>
                </c:pt>
                <c:pt idx="24">
                  <c:v>0.48</c:v>
                </c:pt>
                <c:pt idx="25">
                  <c:v>0.5</c:v>
                </c:pt>
              </c:numCache>
            </c:numRef>
          </c:xVal>
          <c:yVal>
            <c:numRef>
              <c:f>'NPV Model'!$B$66:$B$91</c:f>
              <c:numCache>
                <c:formatCode>"$"#,##0_);[Red]\("$"#,##0\)</c:formatCode>
                <c:ptCount val="26"/>
                <c:pt idx="0">
                  <c:v>615622.6171875</c:v>
                </c:pt>
                <c:pt idx="1">
                  <c:v>494541.8172870283</c:v>
                </c:pt>
                <c:pt idx="2">
                  <c:v>385062.77279727766</c:v>
                </c:pt>
                <c:pt idx="3">
                  <c:v>285829.39183896035</c:v>
                </c:pt>
                <c:pt idx="4">
                  <c:v>195668.8164556413</c:v>
                </c:pt>
                <c:pt idx="5">
                  <c:v>113563.61154618673</c:v>
                </c:pt>
                <c:pt idx="6">
                  <c:v>38628.608722110977</c:v>
                </c:pt>
                <c:pt idx="7">
                  <c:v>-29908.442863495089</c:v>
                </c:pt>
                <c:pt idx="8">
                  <c:v>-92723.100233623525</c:v>
                </c:pt>
                <c:pt idx="9">
                  <c:v>-150407.87485518365</c:v>
                </c:pt>
                <c:pt idx="10">
                  <c:v>-203483.75108506938</c:v>
                </c:pt>
                <c:pt idx="11">
                  <c:v>-252409.93723626377</c:v>
                </c:pt>
                <c:pt idx="12">
                  <c:v>-297592.14513716812</c:v>
                </c:pt>
                <c:pt idx="13">
                  <c:v>-339389.6405773618</c:v>
                </c:pt>
                <c:pt idx="14">
                  <c:v>-378121.26390490448</c:v>
                </c:pt>
                <c:pt idx="15">
                  <c:v>-414070.58513256384</c:v>
                </c:pt>
                <c:pt idx="16">
                  <c:v>-447490.329555762</c:v>
                </c:pt>
                <c:pt idx="17">
                  <c:v>-478606.18677413953</c:v>
                </c:pt>
                <c:pt idx="18">
                  <c:v>-507620.09710895177</c:v>
                </c:pt>
                <c:pt idx="19">
                  <c:v>-534713.09390280349</c:v>
                </c:pt>
                <c:pt idx="20">
                  <c:v>-560047.76742716937</c:v>
                </c:pt>
                <c:pt idx="21">
                  <c:v>-583770.40558907541</c:v>
                </c:pt>
                <c:pt idx="22">
                  <c:v>-606012.85790692118</c:v>
                </c:pt>
                <c:pt idx="23">
                  <c:v>-626894.16198418429</c:v>
                </c:pt>
                <c:pt idx="24">
                  <c:v>-646521.96568072576</c:v>
                </c:pt>
                <c:pt idx="25">
                  <c:v>-664993.77314814809</c:v>
                </c:pt>
              </c:numCache>
            </c:numRef>
          </c:yVal>
          <c:smooth val="1"/>
          <c:extLst>
            <c:ext xmlns:c16="http://schemas.microsoft.com/office/drawing/2014/chart" uri="{C3380CC4-5D6E-409C-BE32-E72D297353CC}">
              <c16:uniqueId val="{00000000-A407-4A5C-AD30-2A2F274EEF70}"/>
            </c:ext>
          </c:extLst>
        </c:ser>
        <c:ser>
          <c:idx val="1"/>
          <c:order val="1"/>
          <c:tx>
            <c:v>IRR</c:v>
          </c:tx>
          <c:spPr>
            <a:ln w="19050" cap="rnd">
              <a:solidFill>
                <a:schemeClr val="accent2"/>
              </a:solidFill>
              <a:round/>
            </a:ln>
            <a:effectLst/>
          </c:spPr>
          <c:marker>
            <c:symbol val="none"/>
          </c:marker>
          <c:dPt>
            <c:idx val="0"/>
            <c:marker>
              <c:symbol val="square"/>
              <c:size val="8"/>
              <c:spPr>
                <a:solidFill>
                  <a:schemeClr val="accent2"/>
                </a:solidFill>
                <a:ln w="9525">
                  <a:solidFill>
                    <a:schemeClr val="accent2"/>
                  </a:solidFill>
                </a:ln>
                <a:effectLst/>
              </c:spPr>
            </c:marker>
            <c:bubble3D val="0"/>
            <c:extLst>
              <c:ext xmlns:c16="http://schemas.microsoft.com/office/drawing/2014/chart" uri="{C3380CC4-5D6E-409C-BE32-E72D297353CC}">
                <c16:uniqueId val="{00000006-A407-4A5C-AD30-2A2F274EEF70}"/>
              </c:ext>
            </c:extLst>
          </c:dPt>
          <c:dLbls>
            <c:dLbl>
              <c:idx val="0"/>
              <c:dLblPos val="t"/>
              <c:showLegendKey val="0"/>
              <c:showVal val="0"/>
              <c:showCatName val="1"/>
              <c:showSerName val="1"/>
              <c:showPercent val="0"/>
              <c:showBubbleSize val="0"/>
              <c:extLst>
                <c:ext xmlns:c15="http://schemas.microsoft.com/office/drawing/2012/chart" uri="{CE6537A1-D6FC-4f65-9D91-7224C49458BB}"/>
                <c:ext xmlns:c16="http://schemas.microsoft.com/office/drawing/2014/chart" uri="{C3380CC4-5D6E-409C-BE32-E72D297353CC}">
                  <c16:uniqueId val="{00000006-A407-4A5C-AD30-2A2F274EEF7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'NPV Model'!$C$53</c:f>
              <c:numCache>
                <c:formatCode>0.0%</c:formatCode>
                <c:ptCount val="1"/>
                <c:pt idx="0">
                  <c:v>0.13105476457530618</c:v>
                </c:pt>
              </c:numCache>
            </c:numRef>
          </c:xVal>
          <c:yVal>
            <c:numLit>
              <c:formatCode>General</c:formatCode>
              <c:ptCount val="1"/>
              <c:pt idx="0">
                <c:v>0</c:v>
              </c:pt>
            </c:numLit>
          </c:yVal>
          <c:smooth val="1"/>
          <c:extLst>
            <c:ext xmlns:c16="http://schemas.microsoft.com/office/drawing/2014/chart" uri="{C3380CC4-5D6E-409C-BE32-E72D297353CC}">
              <c16:uniqueId val="{00000005-A407-4A5C-AD30-2A2F274EEF70}"/>
            </c:ext>
          </c:extLst>
        </c:ser>
        <c:dLbls>
          <c:showLegendKey val="0"/>
          <c:showVal val="0"/>
          <c:showCatName val="0"/>
          <c:showSerName val="0"/>
          <c:showPercent val="0"/>
          <c:showBubbleSize val="0"/>
        </c:dLbls>
        <c:axId val="1335533055"/>
        <c:axId val="1335532095"/>
      </c:scatterChart>
      <c:valAx>
        <c:axId val="13355330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Discount Rate (%)</a:t>
                </a:r>
              </a:p>
            </c:rich>
          </c:tx>
          <c:layout>
            <c:manualLayout>
              <c:xMode val="edge"/>
              <c:yMode val="edge"/>
              <c:x val="0.43864069708273967"/>
              <c:y val="0.951417346382936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532095"/>
        <c:crosses val="autoZero"/>
        <c:crossBetween val="midCat"/>
      </c:valAx>
      <c:valAx>
        <c:axId val="13355320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533055"/>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accent2">
          <a:lumMod val="60000"/>
          <a:lumOff val="40000"/>
          <a:alpha val="97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79375</xdr:colOff>
      <xdr:row>2</xdr:row>
      <xdr:rowOff>15875</xdr:rowOff>
    </xdr:from>
    <xdr:to>
      <xdr:col>6</xdr:col>
      <xdr:colOff>323850</xdr:colOff>
      <xdr:row>6</xdr:row>
      <xdr:rowOff>47625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9375" y="492125"/>
          <a:ext cx="6045200" cy="79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George, President and CEO of Terry's</a:t>
          </a:r>
          <a:r>
            <a:rPr lang="en-US" sz="1100" b="0" i="0" u="none" strike="noStrike" baseline="0">
              <a:solidFill>
                <a:schemeClr val="dk1"/>
              </a:solidFill>
              <a:effectLst/>
              <a:latin typeface="+mn-lt"/>
              <a:ea typeface="+mn-ea"/>
              <a:cs typeface="+mn-cs"/>
            </a:rPr>
            <a:t> Tee Time (TTT</a:t>
          </a:r>
          <a:r>
            <a:rPr lang="en-US" sz="1100" b="0" i="0" u="none" strike="noStrike">
              <a:solidFill>
                <a:schemeClr val="dk1"/>
              </a:solidFill>
              <a:effectLst/>
              <a:latin typeface="+mn-lt"/>
              <a:ea typeface="+mn-ea"/>
              <a:cs typeface="+mn-cs"/>
            </a:rPr>
            <a:t>) would like you to calculate the NPV, IRR,</a:t>
          </a:r>
          <a:r>
            <a:rPr lang="en-US" sz="1100" b="0" i="0" u="none" strike="noStrike" baseline="0">
              <a:solidFill>
                <a:schemeClr val="dk1"/>
              </a:solidFill>
              <a:effectLst/>
              <a:latin typeface="+mn-lt"/>
              <a:ea typeface="+mn-ea"/>
              <a:cs typeface="+mn-cs"/>
            </a:rPr>
            <a:t> MIRR, profitability index and payback period </a:t>
          </a:r>
          <a:r>
            <a:rPr lang="en-US" sz="1100" b="0" i="0" u="none" strike="noStrike">
              <a:solidFill>
                <a:schemeClr val="dk1"/>
              </a:solidFill>
              <a:effectLst/>
              <a:latin typeface="+mn-lt"/>
              <a:ea typeface="+mn-ea"/>
              <a:cs typeface="+mn-cs"/>
            </a:rPr>
            <a:t>of a new project that</a:t>
          </a:r>
          <a:r>
            <a:rPr lang="en-US"/>
            <a:t> </a:t>
          </a:r>
          <a:r>
            <a:rPr lang="en-US" sz="1100" b="0" i="0" u="none" strike="noStrike">
              <a:solidFill>
                <a:schemeClr val="dk1"/>
              </a:solidFill>
              <a:effectLst/>
              <a:latin typeface="+mn-lt"/>
              <a:ea typeface="+mn-ea"/>
              <a:cs typeface="+mn-cs"/>
            </a:rPr>
            <a:t>he is considering.  He would also like you to perform some sensitivity and scenario analysis.   The base</a:t>
          </a:r>
          <a:r>
            <a:rPr lang="en-US" sz="1100" b="0" i="0" u="none" strike="noStrike" baseline="0">
              <a:solidFill>
                <a:schemeClr val="dk1"/>
              </a:solidFill>
              <a:effectLst/>
              <a:latin typeface="+mn-lt"/>
              <a:ea typeface="+mn-ea"/>
              <a:cs typeface="+mn-cs"/>
            </a:rPr>
            <a:t> case </a:t>
          </a:r>
          <a:r>
            <a:rPr lang="en-US" sz="1100" b="0" i="0" u="none" strike="noStrike">
              <a:solidFill>
                <a:schemeClr val="dk1"/>
              </a:solidFill>
              <a:effectLst/>
              <a:latin typeface="+mn-lt"/>
              <a:ea typeface="+mn-ea"/>
              <a:cs typeface="+mn-cs"/>
            </a:rPr>
            <a:t>inputs are presented below</a:t>
          </a:r>
          <a:r>
            <a:rPr lang="en-US" sz="1100" b="0" i="0" u="none" strike="noStrike" baseline="0">
              <a:solidFill>
                <a:schemeClr val="dk1"/>
              </a:solidFill>
              <a:effectLst/>
              <a:latin typeface="+mn-lt"/>
              <a:ea typeface="+mn-ea"/>
              <a:cs typeface="+mn-cs"/>
            </a:rPr>
            <a:t> along with best and worst case scenarios:</a:t>
          </a:r>
          <a:endParaRPr lang="en-US" sz="1100"/>
        </a:p>
      </xdr:txBody>
    </xdr:sp>
    <xdr:clientData/>
  </xdr:twoCellAnchor>
  <xdr:twoCellAnchor>
    <xdr:from>
      <xdr:col>0</xdr:col>
      <xdr:colOff>79375</xdr:colOff>
      <xdr:row>2</xdr:row>
      <xdr:rowOff>15874</xdr:rowOff>
    </xdr:from>
    <xdr:to>
      <xdr:col>6</xdr:col>
      <xdr:colOff>335280</xdr:colOff>
      <xdr:row>6</xdr:row>
      <xdr:rowOff>137159</xdr:rowOff>
    </xdr:to>
    <xdr:sp macro="" textlink="">
      <xdr:nvSpPr>
        <xdr:cNvPr id="3" name="TextBox 2">
          <a:extLst>
            <a:ext uri="{FF2B5EF4-FFF2-40B4-BE49-F238E27FC236}">
              <a16:creationId xmlns:a16="http://schemas.microsoft.com/office/drawing/2014/main" id="{75F8D263-1C1A-4838-9094-EB1013517182}"/>
            </a:ext>
          </a:extLst>
        </xdr:cNvPr>
        <xdr:cNvSpPr txBox="1"/>
      </xdr:nvSpPr>
      <xdr:spPr>
        <a:xfrm>
          <a:off x="79375" y="488314"/>
          <a:ext cx="6214745" cy="852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Mike, President and CEO of Inglis' Arctic Sports </a:t>
          </a:r>
          <a:r>
            <a:rPr lang="en-US" sz="1100" b="0" i="0" u="none" strike="noStrike" baseline="0">
              <a:solidFill>
                <a:schemeClr val="dk1"/>
              </a:solidFill>
              <a:effectLst/>
              <a:latin typeface="+mn-lt"/>
              <a:ea typeface="+mn-ea"/>
              <a:cs typeface="+mn-cs"/>
            </a:rPr>
            <a:t>(IAS</a:t>
          </a:r>
          <a:r>
            <a:rPr lang="en-US" sz="1100" b="0" i="0" u="none" strike="noStrike">
              <a:solidFill>
                <a:schemeClr val="dk1"/>
              </a:solidFill>
              <a:effectLst/>
              <a:latin typeface="+mn-lt"/>
              <a:ea typeface="+mn-ea"/>
              <a:cs typeface="+mn-cs"/>
            </a:rPr>
            <a:t>) would like you to calculate the NPV, IRR,</a:t>
          </a:r>
          <a:r>
            <a:rPr lang="en-US" sz="1100" b="0" i="0" u="none" strike="noStrike" baseline="0">
              <a:solidFill>
                <a:schemeClr val="dk1"/>
              </a:solidFill>
              <a:effectLst/>
              <a:latin typeface="+mn-lt"/>
              <a:ea typeface="+mn-ea"/>
              <a:cs typeface="+mn-cs"/>
            </a:rPr>
            <a:t> MIRR, profitability index and payback period </a:t>
          </a:r>
          <a:r>
            <a:rPr lang="en-US" sz="1100" b="0" i="0" u="none" strike="noStrike">
              <a:solidFill>
                <a:schemeClr val="dk1"/>
              </a:solidFill>
              <a:effectLst/>
              <a:latin typeface="+mn-lt"/>
              <a:ea typeface="+mn-ea"/>
              <a:cs typeface="+mn-cs"/>
            </a:rPr>
            <a:t>of a new project that</a:t>
          </a:r>
          <a:r>
            <a:rPr lang="en-US"/>
            <a:t> </a:t>
          </a:r>
          <a:r>
            <a:rPr lang="en-US" sz="1100" b="0" i="0" u="none" strike="noStrike">
              <a:solidFill>
                <a:schemeClr val="dk1"/>
              </a:solidFill>
              <a:effectLst/>
              <a:latin typeface="+mn-lt"/>
              <a:ea typeface="+mn-ea"/>
              <a:cs typeface="+mn-cs"/>
            </a:rPr>
            <a:t>he is considering.  He would also like you to perform some sensitivity and scenario analysis.   The base</a:t>
          </a:r>
          <a:r>
            <a:rPr lang="en-US" sz="1100" b="0" i="0" u="none" strike="noStrike" baseline="0">
              <a:solidFill>
                <a:schemeClr val="dk1"/>
              </a:solidFill>
              <a:effectLst/>
              <a:latin typeface="+mn-lt"/>
              <a:ea typeface="+mn-ea"/>
              <a:cs typeface="+mn-cs"/>
            </a:rPr>
            <a:t> case </a:t>
          </a:r>
          <a:r>
            <a:rPr lang="en-US" sz="1100" b="0" i="0" u="none" strike="noStrike">
              <a:solidFill>
                <a:schemeClr val="dk1"/>
              </a:solidFill>
              <a:effectLst/>
              <a:latin typeface="+mn-lt"/>
              <a:ea typeface="+mn-ea"/>
              <a:cs typeface="+mn-cs"/>
            </a:rPr>
            <a:t>inputs are presented below</a:t>
          </a:r>
          <a:r>
            <a:rPr lang="en-US" sz="1100" b="0" i="0" u="none" strike="noStrike" baseline="0">
              <a:solidFill>
                <a:schemeClr val="dk1"/>
              </a:solidFill>
              <a:effectLst/>
              <a:latin typeface="+mn-lt"/>
              <a:ea typeface="+mn-ea"/>
              <a:cs typeface="+mn-cs"/>
            </a:rPr>
            <a:t> along with best and worst case scenarios: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356065</xdr:colOff>
      <xdr:row>60</xdr:row>
      <xdr:rowOff>141307</xdr:rowOff>
    </xdr:from>
    <xdr:to>
      <xdr:col>10</xdr:col>
      <xdr:colOff>751416</xdr:colOff>
      <xdr:row>91</xdr:row>
      <xdr:rowOff>21168</xdr:rowOff>
    </xdr:to>
    <xdr:graphicFrame macro="">
      <xdr:nvGraphicFramePr>
        <xdr:cNvPr id="2" name="Chart 1">
          <a:extLst>
            <a:ext uri="{FF2B5EF4-FFF2-40B4-BE49-F238E27FC236}">
              <a16:creationId xmlns:a16="http://schemas.microsoft.com/office/drawing/2014/main" id="{61AC30DF-C19D-365E-D7E2-6A42E0BED6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Ryerson\AFF514\Assignments%202020\Assignment%20%232%20-%20IAS%20Capital%20Budgeting%20and%20Scenario%20Analysis%20-%20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cumentation"/>
      <sheetName val="Notes"/>
      <sheetName val="NPV Model"/>
      <sheetName val="NWC Schedule"/>
      <sheetName val="CCA Schedule"/>
    </sheetNames>
    <sheetDataSet>
      <sheetData sheetId="0" refreshError="1"/>
      <sheetData sheetId="1" refreshError="1"/>
      <sheetData sheetId="2"/>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F50B9F-772E-4542-886F-DA04105B04CB}" name="Table3" displayName="Table3" ref="A21:H32" totalsRowShown="0" headerRowDxfId="32" tableBorderDxfId="31">
  <autoFilter ref="A21:H32" xr:uid="{CFF50B9F-772E-4542-886F-DA04105B04C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ED9DC13-8D24-4562-ADD1-CFBF929470F4}" name="Projected Income Statement " dataDxfId="30"/>
    <tableColumn id="2" xr3:uid="{03F9F889-8A7D-4D4E-A3D6-67051FF96D1D}" name="Column1" dataDxfId="29"/>
    <tableColumn id="3" xr3:uid="{7D77729D-0E62-4E92-AD15-017F0FC1CC5A}" name="Column2" dataDxfId="28"/>
    <tableColumn id="4" xr3:uid="{15460F79-A839-462E-BFB3-8557D46825A3}" name="Column3"/>
    <tableColumn id="5" xr3:uid="{BE9FA5A4-0976-43E5-9FF4-CA18B1703340}" name="Column4"/>
    <tableColumn id="6" xr3:uid="{5B67A12D-8E16-4A5B-A8BA-8AEA43BF6759}" name="Column5"/>
    <tableColumn id="7" xr3:uid="{EFFB0CCA-CDC9-4E1A-9590-7AD86D5B4A38}" name="Column6"/>
    <tableColumn id="8" xr3:uid="{D693C7AD-F7EE-4799-8E63-EC5D57372301}" name="Column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5D220C-C8F6-4C3A-8D5B-F7FC62CAA0F9}" name="Table4" displayName="Table4" ref="A36:H40" headerRowCount="0" totalsRowShown="0" headerRowDxfId="27" dataDxfId="26">
  <tableColumns count="8">
    <tableColumn id="1" xr3:uid="{D1D8C058-1A98-4550-8E57-DF8EF130F5E2}" name="Column8" headerRowDxfId="33" dataDxfId="25"/>
    <tableColumn id="2" xr3:uid="{3506E5AC-90A8-47F1-8C17-FD6253EE15D9}" name="Column1" headerRowDxfId="34" dataDxfId="24"/>
    <tableColumn id="3" xr3:uid="{DCFA15D9-34B9-4A52-9310-2B1E3D3EF634}" name="Column2" headerRowDxfId="35" dataDxfId="23"/>
    <tableColumn id="4" xr3:uid="{6D10E30A-EB07-4EF5-ABB4-EE1D604D0A3F}" name="Column3" headerRowDxfId="36" dataDxfId="22"/>
    <tableColumn id="5" xr3:uid="{E22D9E75-5808-4058-A59D-333AD48E37A9}" name="Column4" headerRowDxfId="37" dataDxfId="21"/>
    <tableColumn id="6" xr3:uid="{2B4CDA3D-FB3C-4329-9190-4D288B041FDA}" name="Column5" headerRowDxfId="38" dataDxfId="20"/>
    <tableColumn id="7" xr3:uid="{2E9706CE-A456-4D51-A4C4-3A5778997EE8}" name="Column6" headerRowDxfId="39" dataDxfId="19"/>
    <tableColumn id="8" xr3:uid="{DBDA115D-B946-438B-9C18-1A1E072966DD}" name="Column7" headerRowDxfId="40" dataDxfId="18"/>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B018A6C-6BB3-4962-81F8-81C5A8DDA51E}" name="Table5" displayName="Table5" ref="A43:H50" headerRowCount="0" totalsRowShown="0" headerRowCellStyle="40% - Accent2" dataCellStyle="40% - Accent2">
  <tableColumns count="8">
    <tableColumn id="1" xr3:uid="{C92F658F-FD1E-4CC3-9493-B5CFD9C6D3E2}" name="Column8" dataDxfId="17" headerRowCellStyle="40% - Accent2"/>
    <tableColumn id="2" xr3:uid="{1C0ED675-92EC-4AF6-AF62-67A0D061F326}" name="Column1"/>
    <tableColumn id="3" xr3:uid="{D05B06F2-79A4-4C29-8657-7FB3D3F6BF80}" name="Column2"/>
    <tableColumn id="4" xr3:uid="{253059BC-DFEF-4D87-A072-0423F15634DD}" name="Column3"/>
    <tableColumn id="5" xr3:uid="{177BAD43-2145-4B08-AF2C-4192DD55A604}" name="Column4"/>
    <tableColumn id="6" xr3:uid="{1DFDFA81-EE2B-4FC5-A819-F2AA2DD1E4F7}" name="Column5"/>
    <tableColumn id="7" xr3:uid="{60F3F334-F670-4CBA-861B-0C3BD8615C11}" name="Column6"/>
    <tableColumn id="8" xr3:uid="{79B3940B-6324-46BE-8E74-D610A612DED2}" name="Column7"/>
  </tableColumns>
  <tableStyleInfo name="TableStyleMedium3"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3.xm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1"/>
  <sheetViews>
    <sheetView topLeftCell="A18" workbookViewId="0">
      <selection activeCell="C18" sqref="C18"/>
    </sheetView>
  </sheetViews>
  <sheetFormatPr defaultRowHeight="14.5" x14ac:dyDescent="0.35"/>
  <cols>
    <col min="1" max="1" width="25.08984375" customWidth="1"/>
    <col min="2" max="2" width="13.08984375" bestFit="1" customWidth="1"/>
    <col min="3" max="5" width="12" customWidth="1"/>
    <col min="6" max="7" width="12.6328125" customWidth="1"/>
  </cols>
  <sheetData>
    <row r="1" spans="1:5" ht="22.5" x14ac:dyDescent="0.45">
      <c r="A1" s="2" t="s">
        <v>73</v>
      </c>
    </row>
    <row r="8" spans="1:5" x14ac:dyDescent="0.35">
      <c r="C8" s="1" t="s">
        <v>34</v>
      </c>
      <c r="D8" s="1" t="s">
        <v>35</v>
      </c>
      <c r="E8" s="1" t="s">
        <v>36</v>
      </c>
    </row>
    <row r="9" spans="1:5" x14ac:dyDescent="0.35">
      <c r="A9" t="s">
        <v>15</v>
      </c>
      <c r="B9" t="s">
        <v>14</v>
      </c>
      <c r="C9" s="11">
        <v>5</v>
      </c>
      <c r="D9">
        <v>5</v>
      </c>
      <c r="E9">
        <v>5</v>
      </c>
    </row>
    <row r="10" spans="1:5" x14ac:dyDescent="0.35">
      <c r="A10" t="s">
        <v>0</v>
      </c>
      <c r="B10" t="s">
        <v>20</v>
      </c>
      <c r="C10">
        <v>1050000</v>
      </c>
      <c r="D10">
        <v>1020000</v>
      </c>
      <c r="E10">
        <v>1070000</v>
      </c>
    </row>
    <row r="11" spans="1:5" x14ac:dyDescent="0.35">
      <c r="A11" t="s">
        <v>6</v>
      </c>
      <c r="B11" t="s">
        <v>16</v>
      </c>
      <c r="C11">
        <v>300000</v>
      </c>
      <c r="D11">
        <v>337500</v>
      </c>
      <c r="E11">
        <v>225000</v>
      </c>
    </row>
    <row r="12" spans="1:5" x14ac:dyDescent="0.35">
      <c r="A12" t="s">
        <v>38</v>
      </c>
      <c r="B12" t="s">
        <v>25</v>
      </c>
      <c r="C12">
        <v>15000</v>
      </c>
      <c r="D12">
        <v>18000</v>
      </c>
      <c r="E12">
        <v>12000</v>
      </c>
    </row>
    <row r="13" spans="1:5" x14ac:dyDescent="0.35">
      <c r="A13" t="s">
        <v>40</v>
      </c>
      <c r="B13" t="s">
        <v>26</v>
      </c>
      <c r="C13" s="12">
        <v>0.05</v>
      </c>
      <c r="D13" s="4">
        <v>0.08</v>
      </c>
      <c r="E13" s="4">
        <v>0.04</v>
      </c>
    </row>
    <row r="14" spans="1:5" x14ac:dyDescent="0.35">
      <c r="A14" t="s">
        <v>22</v>
      </c>
      <c r="B14" t="s">
        <v>23</v>
      </c>
      <c r="C14" s="10">
        <v>90</v>
      </c>
      <c r="D14" s="3">
        <v>96</v>
      </c>
      <c r="E14" s="3">
        <v>85</v>
      </c>
    </row>
    <row r="15" spans="1:5" x14ac:dyDescent="0.35">
      <c r="A15" t="s">
        <v>7</v>
      </c>
      <c r="B15" t="s">
        <v>18</v>
      </c>
      <c r="C15" s="10">
        <v>65</v>
      </c>
      <c r="D15" s="3">
        <v>64</v>
      </c>
      <c r="E15" s="3">
        <v>67</v>
      </c>
    </row>
    <row r="16" spans="1:5" x14ac:dyDescent="0.35">
      <c r="A16" t="s">
        <v>5</v>
      </c>
      <c r="B16" t="s">
        <v>17</v>
      </c>
      <c r="C16">
        <v>75000</v>
      </c>
      <c r="D16">
        <v>65625</v>
      </c>
      <c r="E16">
        <v>84375</v>
      </c>
    </row>
    <row r="17" spans="1:5" x14ac:dyDescent="0.35">
      <c r="A17" t="s">
        <v>8</v>
      </c>
      <c r="B17" t="s">
        <v>60</v>
      </c>
      <c r="C17">
        <v>125000</v>
      </c>
      <c r="D17">
        <v>100000</v>
      </c>
      <c r="E17">
        <v>137500</v>
      </c>
    </row>
    <row r="18" spans="1:5" x14ac:dyDescent="0.35">
      <c r="A18" t="s">
        <v>59</v>
      </c>
      <c r="B18" t="s">
        <v>61</v>
      </c>
      <c r="C18" s="4">
        <v>0.1</v>
      </c>
      <c r="D18" s="4">
        <v>0.08</v>
      </c>
      <c r="E18" s="4">
        <v>0.12</v>
      </c>
    </row>
    <row r="19" spans="1:5" x14ac:dyDescent="0.35">
      <c r="A19" t="s">
        <v>4</v>
      </c>
      <c r="B19" t="s">
        <v>19</v>
      </c>
      <c r="C19" s="12">
        <v>0.35</v>
      </c>
      <c r="D19" s="12">
        <v>0.35</v>
      </c>
      <c r="E19" s="12">
        <v>0.35</v>
      </c>
    </row>
    <row r="20" spans="1:5" x14ac:dyDescent="0.35">
      <c r="A20" t="s">
        <v>54</v>
      </c>
      <c r="B20" t="s">
        <v>55</v>
      </c>
      <c r="C20" s="4">
        <v>0.25</v>
      </c>
      <c r="D20" s="4">
        <v>0.25</v>
      </c>
      <c r="E20" s="4">
        <v>0.25</v>
      </c>
    </row>
    <row r="21" spans="1:5" x14ac:dyDescent="0.35">
      <c r="A21" t="s">
        <v>12</v>
      </c>
      <c r="B21" t="s">
        <v>21</v>
      </c>
      <c r="C21" s="12">
        <v>0.15</v>
      </c>
      <c r="D21" s="12">
        <v>0.15</v>
      </c>
      <c r="E21" s="12">
        <v>0.15</v>
      </c>
    </row>
    <row r="23" spans="1:5" x14ac:dyDescent="0.35">
      <c r="A23" t="s">
        <v>37</v>
      </c>
    </row>
    <row r="24" spans="1:5" x14ac:dyDescent="0.35">
      <c r="A24" t="s">
        <v>41</v>
      </c>
    </row>
    <row r="25" spans="1:5" x14ac:dyDescent="0.35">
      <c r="A25" t="s">
        <v>42</v>
      </c>
    </row>
    <row r="26" spans="1:5" x14ac:dyDescent="0.35">
      <c r="A26" t="s">
        <v>74</v>
      </c>
    </row>
    <row r="27" spans="1:5" x14ac:dyDescent="0.35">
      <c r="A27" t="s">
        <v>72</v>
      </c>
    </row>
    <row r="28" spans="1:5" x14ac:dyDescent="0.35">
      <c r="A28" t="s">
        <v>63</v>
      </c>
    </row>
    <row r="29" spans="1:5" x14ac:dyDescent="0.35">
      <c r="A29" t="s">
        <v>47</v>
      </c>
    </row>
    <row r="30" spans="1:5" x14ac:dyDescent="0.35">
      <c r="A30" t="s">
        <v>48</v>
      </c>
    </row>
    <row r="31" spans="1:5" x14ac:dyDescent="0.35">
      <c r="A31" t="s">
        <v>70</v>
      </c>
    </row>
    <row r="32" spans="1:5" x14ac:dyDescent="0.35">
      <c r="A32" t="s">
        <v>69</v>
      </c>
    </row>
    <row r="33" spans="1:1" x14ac:dyDescent="0.35">
      <c r="A33" t="s">
        <v>75</v>
      </c>
    </row>
    <row r="34" spans="1:1" x14ac:dyDescent="0.35">
      <c r="A34" t="s">
        <v>43</v>
      </c>
    </row>
    <row r="35" spans="1:1" x14ac:dyDescent="0.35">
      <c r="A35" t="s">
        <v>44</v>
      </c>
    </row>
    <row r="36" spans="1:1" x14ac:dyDescent="0.35">
      <c r="A36" t="s">
        <v>64</v>
      </c>
    </row>
    <row r="37" spans="1:1" x14ac:dyDescent="0.35">
      <c r="A37" t="s">
        <v>71</v>
      </c>
    </row>
    <row r="38" spans="1:1" x14ac:dyDescent="0.35">
      <c r="A38" t="s">
        <v>45</v>
      </c>
    </row>
    <row r="39" spans="1:1" x14ac:dyDescent="0.35">
      <c r="A39" t="s">
        <v>49</v>
      </c>
    </row>
    <row r="40" spans="1:1" x14ac:dyDescent="0.35">
      <c r="A40" t="s">
        <v>51</v>
      </c>
    </row>
    <row r="41" spans="1:1" x14ac:dyDescent="0.35">
      <c r="A41" t="s">
        <v>76</v>
      </c>
    </row>
  </sheetData>
  <pageMargins left="0.7" right="0.7" top="0.75" bottom="0.75" header="0.3" footer="0.3"/>
  <pageSetup orientation="landscape" horizontalDpi="0" verticalDpi="0" r:id="rId1"/>
  <rowBreaks count="2" manualBreakCount="2">
    <brk id="20" max="16383" man="1"/>
    <brk id="39"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2" id="{B030DB4A-8C4D-41DB-B5DF-6A223D80B2F4}">
            <xm:f>'D:\Ryerson\AFF514\Assignments 2020\[Assignment #2 - IAS Capital Budgeting and Scenario Analysis - Solution.xlsx]NPV Model'!#REF!&lt;&gt;'D:\Ryerson\AFF514\Assignments 2020\[Assignment #2 - IAS Capital Budgeting and Scenario Analysis - Solution.xlsx]NPV Model'!#REF!</xm:f>
            <x14:dxf>
              <font>
                <color theme="6" tint="-0.24994659260841701"/>
              </font>
            </x14:dxf>
          </x14:cfRule>
          <xm:sqref>D9 D13:D15 D18</xm:sqref>
        </x14:conditionalFormatting>
        <x14:conditionalFormatting xmlns:xm="http://schemas.microsoft.com/office/excel/2006/main">
          <x14:cfRule type="expression" priority="1" id="{AC81BD5D-5BA9-4500-A723-D165DD2EE97D}">
            <xm:f>'D:\Ryerson\AFF514\Assignments 2020\[Assignment #2 - IAS Capital Budgeting and Scenario Analysis - Solution.xlsx]NPV Model'!#REF!&lt;&gt;'D:\Ryerson\AFF514\Assignments 2020\[Assignment #2 - IAS Capital Budgeting and Scenario Analysis - Solution.xlsx]NPV Model'!#REF!</xm:f>
            <x14:dxf>
              <font>
                <color theme="9" tint="-0.24994659260841701"/>
              </font>
            </x14:dxf>
          </x14:cfRule>
          <xm:sqref>E9 E13:E15 E18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2E90B-495C-43B5-A3A1-7FD82ADEB214}">
  <dimension ref="A1:AD141"/>
  <sheetViews>
    <sheetView zoomScale="60" zoomScaleNormal="60" workbookViewId="0">
      <selection activeCell="C27" sqref="C27"/>
    </sheetView>
  </sheetViews>
  <sheetFormatPr defaultRowHeight="14.5" x14ac:dyDescent="0.35"/>
  <cols>
    <col min="1" max="1" width="66.6328125" bestFit="1" customWidth="1"/>
    <col min="2" max="2" width="16.6328125" customWidth="1"/>
    <col min="3" max="3" width="22.08984375" customWidth="1"/>
    <col min="4" max="4" width="12.90625" customWidth="1"/>
    <col min="5" max="5" width="49.54296875" bestFit="1" customWidth="1"/>
    <col min="6" max="6" width="40.54296875" bestFit="1" customWidth="1"/>
    <col min="7" max="7" width="21" bestFit="1" customWidth="1"/>
    <col min="8" max="8" width="17.26953125" bestFit="1" customWidth="1"/>
    <col min="9" max="9" width="13.81640625" bestFit="1" customWidth="1"/>
    <col min="10" max="10" width="20.7265625" bestFit="1" customWidth="1"/>
    <col min="11" max="11" width="31.7265625" customWidth="1"/>
    <col min="12" max="12" width="38.54296875" bestFit="1" customWidth="1"/>
    <col min="13" max="13" width="12.90625" customWidth="1"/>
    <col min="14" max="14" width="19.90625" bestFit="1" customWidth="1"/>
    <col min="15" max="15" width="15.6328125" customWidth="1"/>
    <col min="16" max="16" width="25.26953125" bestFit="1" customWidth="1"/>
    <col min="17" max="17" width="37.36328125" bestFit="1" customWidth="1"/>
    <col min="18" max="18" width="19.36328125" bestFit="1" customWidth="1"/>
    <col min="19" max="20" width="15.6328125" customWidth="1"/>
    <col min="21" max="21" width="14.36328125" customWidth="1"/>
    <col min="22" max="22" width="21" bestFit="1" customWidth="1"/>
    <col min="23" max="24" width="15.6328125" customWidth="1"/>
    <col min="25" max="25" width="18.453125" bestFit="1" customWidth="1"/>
    <col min="26" max="26" width="19.90625" bestFit="1" customWidth="1"/>
    <col min="27" max="27" width="25.36328125" bestFit="1" customWidth="1"/>
    <col min="28" max="28" width="35.81640625" bestFit="1" customWidth="1"/>
    <col min="29" max="29" width="19.90625" bestFit="1" customWidth="1"/>
    <col min="30" max="30" width="17.1796875" bestFit="1" customWidth="1"/>
    <col min="31" max="34" width="15.6328125" customWidth="1"/>
  </cols>
  <sheetData>
    <row r="1" spans="1:30" ht="23" thickBot="1" x14ac:dyDescent="0.5">
      <c r="A1" s="137" t="s">
        <v>77</v>
      </c>
      <c r="B1" s="37"/>
      <c r="C1" s="71" t="s">
        <v>34</v>
      </c>
    </row>
    <row r="2" spans="1:30" ht="23" thickTop="1" x14ac:dyDescent="0.45">
      <c r="A2" s="38"/>
      <c r="B2" s="39"/>
      <c r="C2" s="36"/>
      <c r="L2" s="106" t="s">
        <v>127</v>
      </c>
      <c r="M2" s="107"/>
      <c r="N2" s="107"/>
      <c r="O2" s="107"/>
      <c r="P2" s="107"/>
      <c r="Q2" s="107"/>
      <c r="R2" s="107"/>
      <c r="S2" s="107"/>
      <c r="T2" s="107"/>
      <c r="U2" s="107"/>
      <c r="V2" s="107"/>
      <c r="W2" s="107"/>
      <c r="X2" s="107"/>
      <c r="Y2" s="107"/>
      <c r="Z2" s="107"/>
      <c r="AA2" s="107"/>
      <c r="AB2" s="107"/>
      <c r="AC2" s="107"/>
      <c r="AD2" s="107"/>
    </row>
    <row r="3" spans="1:30" ht="17.5" thickBot="1" x14ac:dyDescent="0.45">
      <c r="A3" s="41" t="s">
        <v>3</v>
      </c>
      <c r="B3" s="36"/>
      <c r="C3" s="40"/>
      <c r="F3" s="7"/>
      <c r="G3" s="7"/>
      <c r="H3" s="7"/>
      <c r="I3" s="7"/>
      <c r="J3" s="14"/>
      <c r="K3" s="14"/>
      <c r="L3" s="108"/>
      <c r="M3" s="108"/>
      <c r="N3" s="108"/>
      <c r="O3" s="108"/>
      <c r="P3" s="108"/>
      <c r="Q3" s="108"/>
      <c r="R3" s="108"/>
      <c r="S3" s="108"/>
      <c r="T3" s="109"/>
      <c r="U3" s="109"/>
      <c r="V3" s="108"/>
      <c r="W3" s="108"/>
      <c r="X3" s="107"/>
      <c r="Y3" s="107"/>
      <c r="Z3" s="107"/>
      <c r="AA3" s="107"/>
      <c r="AB3" s="107"/>
      <c r="AC3" s="107"/>
      <c r="AD3" s="107"/>
    </row>
    <row r="4" spans="1:30" ht="18" thickTop="1" thickBot="1" x14ac:dyDescent="0.45">
      <c r="A4" s="42"/>
      <c r="B4" s="36"/>
      <c r="C4" s="40"/>
      <c r="E4" s="1"/>
      <c r="F4" s="16"/>
      <c r="G4" s="17"/>
      <c r="H4" s="17"/>
      <c r="I4" s="6"/>
      <c r="J4" s="18"/>
      <c r="K4" s="17"/>
      <c r="L4" s="110" t="s">
        <v>93</v>
      </c>
      <c r="M4" s="110" t="s">
        <v>15</v>
      </c>
      <c r="N4" s="110" t="s">
        <v>0</v>
      </c>
      <c r="O4" s="110" t="s">
        <v>6</v>
      </c>
      <c r="P4" s="110" t="s">
        <v>38</v>
      </c>
      <c r="Q4" s="110" t="s">
        <v>40</v>
      </c>
      <c r="R4" s="110" t="s">
        <v>22</v>
      </c>
      <c r="S4" s="110" t="s">
        <v>7</v>
      </c>
      <c r="T4" s="110" t="s">
        <v>5</v>
      </c>
      <c r="U4" s="110" t="s">
        <v>8</v>
      </c>
      <c r="V4" s="110" t="s">
        <v>59</v>
      </c>
      <c r="W4" s="110" t="s">
        <v>4</v>
      </c>
      <c r="X4" s="110" t="s">
        <v>54</v>
      </c>
      <c r="Y4" s="110" t="s">
        <v>12</v>
      </c>
      <c r="Z4" s="110" t="s">
        <v>32</v>
      </c>
      <c r="AA4" s="110" t="s">
        <v>52</v>
      </c>
      <c r="AB4" s="110" t="s">
        <v>66</v>
      </c>
      <c r="AC4" s="110" t="s">
        <v>67</v>
      </c>
      <c r="AD4" s="110" t="s">
        <v>68</v>
      </c>
    </row>
    <row r="5" spans="1:30" ht="15" thickTop="1" x14ac:dyDescent="0.35">
      <c r="A5" s="43" t="s">
        <v>119</v>
      </c>
      <c r="B5" s="44" t="s">
        <v>46</v>
      </c>
      <c r="C5" s="45" t="s">
        <v>39</v>
      </c>
      <c r="L5" s="107"/>
      <c r="M5" s="111">
        <f>N</f>
        <v>5</v>
      </c>
      <c r="N5" s="111">
        <f>CapEx</f>
        <v>1050000</v>
      </c>
      <c r="O5" s="111">
        <f>Sal</f>
        <v>300000</v>
      </c>
      <c r="P5" s="111">
        <f>FYS_Vol</f>
        <v>15000</v>
      </c>
      <c r="Q5" s="111">
        <f>GR</f>
        <v>0.05</v>
      </c>
      <c r="R5" s="111">
        <f>Rev_unit</f>
        <v>90</v>
      </c>
      <c r="S5" s="111">
        <f>VC</f>
        <v>65</v>
      </c>
      <c r="T5" s="111">
        <f>FC</f>
        <v>75000</v>
      </c>
      <c r="U5" s="111">
        <f>NWC_0</f>
        <v>125000</v>
      </c>
      <c r="V5" s="111">
        <f>NWC_to_Sales</f>
        <v>0.1</v>
      </c>
      <c r="W5" s="111">
        <f>Tax_Rate</f>
        <v>0.35</v>
      </c>
      <c r="X5" s="111">
        <f>d</f>
        <v>0.25</v>
      </c>
      <c r="Y5" s="111">
        <f>rr</f>
        <v>0.15</v>
      </c>
      <c r="Z5" s="112">
        <f>C52</f>
        <v>-61992.236896013375</v>
      </c>
      <c r="AA5" s="113">
        <f>C53</f>
        <v>0.13105476457530618</v>
      </c>
      <c r="AB5" s="113">
        <f>C54</f>
        <v>0.1376008443613328</v>
      </c>
      <c r="AC5" s="114">
        <f>C55</f>
        <v>0.94724064945020137</v>
      </c>
      <c r="AD5" s="114">
        <f>C56</f>
        <v>4.1618117509128894</v>
      </c>
    </row>
    <row r="6" spans="1:30" x14ac:dyDescent="0.35">
      <c r="A6" s="35" t="s">
        <v>15</v>
      </c>
      <c r="B6" s="35" t="s">
        <v>14</v>
      </c>
      <c r="C6" s="128">
        <v>5</v>
      </c>
      <c r="L6" s="115" t="s">
        <v>34</v>
      </c>
      <c r="M6" s="116">
        <f t="dataTable" ref="M6:AD32" dt2D="0" dtr="0" r1="C1"/>
        <v>5</v>
      </c>
      <c r="N6" s="124">
        <v>1050000</v>
      </c>
      <c r="O6" s="124">
        <v>300000</v>
      </c>
      <c r="P6" s="124">
        <v>15000</v>
      </c>
      <c r="Q6" s="126">
        <v>0.05</v>
      </c>
      <c r="R6" s="124">
        <v>90</v>
      </c>
      <c r="S6" s="124">
        <v>65</v>
      </c>
      <c r="T6" s="124">
        <v>75000</v>
      </c>
      <c r="U6" s="124">
        <v>125000</v>
      </c>
      <c r="V6" s="126">
        <v>0.1</v>
      </c>
      <c r="W6" s="126">
        <v>0.35</v>
      </c>
      <c r="X6" s="126">
        <v>0.25</v>
      </c>
      <c r="Y6" s="126">
        <v>0.15</v>
      </c>
      <c r="Z6" s="124">
        <v>-61992.236896013375</v>
      </c>
      <c r="AA6" s="126">
        <v>0.13105476457530618</v>
      </c>
      <c r="AB6" s="126">
        <v>0.1376008443613328</v>
      </c>
      <c r="AC6" s="132">
        <v>0.94724064945020137</v>
      </c>
      <c r="AD6" s="134">
        <v>4.1618117509128894</v>
      </c>
    </row>
    <row r="7" spans="1:30" x14ac:dyDescent="0.35">
      <c r="A7" s="35" t="s">
        <v>0</v>
      </c>
      <c r="B7" s="35" t="s">
        <v>20</v>
      </c>
      <c r="C7" s="129">
        <f>VLOOKUP(Scenario,Scenario_Table,MATCH(A7,Field_names,0),0)</f>
        <v>1050000</v>
      </c>
      <c r="L7" s="115" t="s">
        <v>35</v>
      </c>
      <c r="M7" s="107">
        <v>5</v>
      </c>
      <c r="N7" s="125">
        <v>1020000</v>
      </c>
      <c r="O7" s="125">
        <v>337500</v>
      </c>
      <c r="P7" s="125">
        <v>18000</v>
      </c>
      <c r="Q7" s="127">
        <v>0.08</v>
      </c>
      <c r="R7" s="125">
        <v>96</v>
      </c>
      <c r="S7" s="125">
        <v>64</v>
      </c>
      <c r="T7" s="125">
        <v>65625</v>
      </c>
      <c r="U7" s="125">
        <v>100000</v>
      </c>
      <c r="V7" s="127">
        <v>0.08</v>
      </c>
      <c r="W7" s="127">
        <v>0.35</v>
      </c>
      <c r="X7" s="127">
        <v>0.25</v>
      </c>
      <c r="Y7" s="127">
        <v>0.15</v>
      </c>
      <c r="Z7" s="125">
        <v>533281.4596779265</v>
      </c>
      <c r="AA7" s="127">
        <v>0.30095681448932377</v>
      </c>
      <c r="AB7" s="127">
        <v>0.24139417265090302</v>
      </c>
      <c r="AC7" s="133">
        <v>1.4657479997187131</v>
      </c>
      <c r="AD7" s="135">
        <v>2.8804056633525037</v>
      </c>
    </row>
    <row r="8" spans="1:30" x14ac:dyDescent="0.35">
      <c r="A8" s="35" t="s">
        <v>6</v>
      </c>
      <c r="B8" s="35" t="s">
        <v>16</v>
      </c>
      <c r="C8" s="129">
        <f>VLOOKUP(Scenario,Scenario_Table,MATCH(A8,Field_names,0),0)</f>
        <v>300000</v>
      </c>
      <c r="L8" s="115" t="s">
        <v>36</v>
      </c>
      <c r="M8" s="107">
        <v>5</v>
      </c>
      <c r="N8" s="125">
        <v>1070000</v>
      </c>
      <c r="O8" s="125">
        <v>225000</v>
      </c>
      <c r="P8" s="125">
        <v>12000</v>
      </c>
      <c r="Q8" s="127">
        <v>0.04</v>
      </c>
      <c r="R8" s="125">
        <v>85</v>
      </c>
      <c r="S8" s="125">
        <v>67</v>
      </c>
      <c r="T8" s="125">
        <v>84375</v>
      </c>
      <c r="U8" s="125">
        <v>137500</v>
      </c>
      <c r="V8" s="127">
        <v>0.12</v>
      </c>
      <c r="W8" s="127">
        <v>0.35</v>
      </c>
      <c r="X8" s="127">
        <v>0.25</v>
      </c>
      <c r="Y8" s="127">
        <v>0.15</v>
      </c>
      <c r="Z8" s="125">
        <v>-499507.33786098706</v>
      </c>
      <c r="AA8" s="127">
        <v>-1.6528175418779267E-2</v>
      </c>
      <c r="AB8" s="127">
        <v>3.2007301020885892E-2</v>
      </c>
      <c r="AC8" s="133">
        <v>0.58200222773139154</v>
      </c>
      <c r="AD8" s="135" t="str">
        <v>No payback</v>
      </c>
    </row>
    <row r="9" spans="1:30" x14ac:dyDescent="0.35">
      <c r="A9" s="35" t="s">
        <v>38</v>
      </c>
      <c r="B9" s="35" t="s">
        <v>25</v>
      </c>
      <c r="C9" s="129">
        <f>VLOOKUP(Scenario,Scenario_Table,MATCH(A9,Field_names,0),0)</f>
        <v>15000</v>
      </c>
      <c r="L9" s="115" t="s">
        <v>94</v>
      </c>
      <c r="M9" s="107">
        <v>5</v>
      </c>
      <c r="N9" s="125">
        <v>1102500</v>
      </c>
      <c r="O9" s="125">
        <v>300000</v>
      </c>
      <c r="P9" s="125">
        <v>15000</v>
      </c>
      <c r="Q9" s="127">
        <v>0.05</v>
      </c>
      <c r="R9" s="125">
        <v>90</v>
      </c>
      <c r="S9" s="125">
        <v>65</v>
      </c>
      <c r="T9" s="125">
        <v>75000</v>
      </c>
      <c r="U9" s="125">
        <v>125000</v>
      </c>
      <c r="V9" s="127">
        <v>0.1</v>
      </c>
      <c r="W9" s="127">
        <v>0.35</v>
      </c>
      <c r="X9" s="127">
        <v>0.25</v>
      </c>
      <c r="Y9" s="127">
        <v>0.15</v>
      </c>
      <c r="Z9" s="125">
        <v>-114492.23689601338</v>
      </c>
      <c r="AA9" s="127">
        <v>0.11615931098230137</v>
      </c>
      <c r="AB9" s="127">
        <v>0.12769895735477577</v>
      </c>
      <c r="AC9" s="133">
        <v>0.90672730191770801</v>
      </c>
      <c r="AD9" s="135">
        <v>4.2332920407016426</v>
      </c>
    </row>
    <row r="10" spans="1:30" x14ac:dyDescent="0.35">
      <c r="A10" s="35" t="s">
        <v>40</v>
      </c>
      <c r="B10" s="35" t="s">
        <v>26</v>
      </c>
      <c r="C10" s="130">
        <f>VLOOKUP(Scenario,Scenario_Table,MATCH(A10,Field_names,0),0)</f>
        <v>0.05</v>
      </c>
      <c r="L10" s="115" t="s">
        <v>95</v>
      </c>
      <c r="M10" s="107">
        <v>5</v>
      </c>
      <c r="N10" s="125">
        <v>997500</v>
      </c>
      <c r="O10" s="125">
        <v>300000</v>
      </c>
      <c r="P10" s="125">
        <v>15000</v>
      </c>
      <c r="Q10" s="127">
        <v>0.05</v>
      </c>
      <c r="R10" s="125">
        <v>90</v>
      </c>
      <c r="S10" s="125">
        <v>65</v>
      </c>
      <c r="T10" s="125">
        <v>75000</v>
      </c>
      <c r="U10" s="125">
        <v>125000</v>
      </c>
      <c r="V10" s="127">
        <v>0.1</v>
      </c>
      <c r="W10" s="127">
        <v>0.35</v>
      </c>
      <c r="X10" s="127">
        <v>0.25</v>
      </c>
      <c r="Y10" s="127">
        <v>0.15</v>
      </c>
      <c r="Z10" s="125">
        <v>-9492.2368960133754</v>
      </c>
      <c r="AA10" s="127">
        <v>0.14699605858697273</v>
      </c>
      <c r="AB10" s="127">
        <v>0.14804843031072745</v>
      </c>
      <c r="AC10" s="133">
        <v>0.99154366423517737</v>
      </c>
      <c r="AD10" s="135">
        <v>4.0903314611241361</v>
      </c>
    </row>
    <row r="11" spans="1:30" x14ac:dyDescent="0.35">
      <c r="A11" s="35" t="s">
        <v>22</v>
      </c>
      <c r="B11" s="35" t="s">
        <v>23</v>
      </c>
      <c r="C11" s="129">
        <f>VLOOKUP(Scenario,Scenario_Table,MATCH(A11,Field_names,0),0)</f>
        <v>90</v>
      </c>
      <c r="L11" s="115" t="s">
        <v>96</v>
      </c>
      <c r="M11" s="107">
        <v>5</v>
      </c>
      <c r="N11" s="125">
        <v>1050000</v>
      </c>
      <c r="O11" s="125">
        <v>315000</v>
      </c>
      <c r="P11" s="125">
        <v>15000</v>
      </c>
      <c r="Q11" s="127">
        <v>0.05</v>
      </c>
      <c r="R11" s="125">
        <v>90</v>
      </c>
      <c r="S11" s="125">
        <v>65</v>
      </c>
      <c r="T11" s="125">
        <v>75000</v>
      </c>
      <c r="U11" s="125">
        <v>125000</v>
      </c>
      <c r="V11" s="127">
        <v>0.1</v>
      </c>
      <c r="W11" s="127">
        <v>0.35</v>
      </c>
      <c r="X11" s="127">
        <v>0.25</v>
      </c>
      <c r="Y11" s="127">
        <v>0.15</v>
      </c>
      <c r="Z11" s="125">
        <v>-57144.763726855163</v>
      </c>
      <c r="AA11" s="127">
        <v>0.13259435212042758</v>
      </c>
      <c r="AB11" s="127">
        <v>0.13859003920745394</v>
      </c>
      <c r="AC11" s="133">
        <v>0.95136615853033601</v>
      </c>
      <c r="AD11" s="135">
        <v>4.1596918557466926</v>
      </c>
    </row>
    <row r="12" spans="1:30" x14ac:dyDescent="0.35">
      <c r="A12" s="35" t="s">
        <v>7</v>
      </c>
      <c r="B12" s="35" t="s">
        <v>18</v>
      </c>
      <c r="C12" s="129">
        <f>VLOOKUP(Scenario,Scenario_Table,MATCH(A12,Field_names,0),0)</f>
        <v>65</v>
      </c>
      <c r="L12" s="115" t="s">
        <v>99</v>
      </c>
      <c r="M12" s="107">
        <v>5</v>
      </c>
      <c r="N12" s="125">
        <v>1050000</v>
      </c>
      <c r="O12" s="125">
        <v>285000</v>
      </c>
      <c r="P12" s="125">
        <v>15000</v>
      </c>
      <c r="Q12" s="127">
        <v>0.05</v>
      </c>
      <c r="R12" s="125">
        <v>90</v>
      </c>
      <c r="S12" s="125">
        <v>65</v>
      </c>
      <c r="T12" s="125">
        <v>75000</v>
      </c>
      <c r="U12" s="125">
        <v>125000</v>
      </c>
      <c r="V12" s="127">
        <v>0.1</v>
      </c>
      <c r="W12" s="127">
        <v>0.35</v>
      </c>
      <c r="X12" s="127">
        <v>0.25</v>
      </c>
      <c r="Y12" s="127">
        <v>0.15</v>
      </c>
      <c r="Z12" s="125">
        <v>-66839.710065171588</v>
      </c>
      <c r="AA12" s="127">
        <v>0.12950458644903362</v>
      </c>
      <c r="AB12" s="127">
        <v>0.13660819690310388</v>
      </c>
      <c r="AC12" s="133">
        <v>0.94311514037006672</v>
      </c>
      <c r="AD12" s="135">
        <v>4.1639886861197022</v>
      </c>
    </row>
    <row r="13" spans="1:30" x14ac:dyDescent="0.35">
      <c r="A13" s="35" t="s">
        <v>5</v>
      </c>
      <c r="B13" s="35" t="s">
        <v>17</v>
      </c>
      <c r="C13" s="129">
        <f>VLOOKUP(Scenario,Scenario_Table,MATCH(A13,Field_names,0),0)</f>
        <v>75000</v>
      </c>
      <c r="L13" s="115" t="s">
        <v>98</v>
      </c>
      <c r="M13" s="107">
        <v>5</v>
      </c>
      <c r="N13" s="125">
        <v>1050000</v>
      </c>
      <c r="O13" s="125">
        <v>300000</v>
      </c>
      <c r="P13" s="125">
        <v>15750</v>
      </c>
      <c r="Q13" s="127">
        <v>0.05</v>
      </c>
      <c r="R13" s="125">
        <v>90</v>
      </c>
      <c r="S13" s="125">
        <v>65</v>
      </c>
      <c r="T13" s="125">
        <v>75000</v>
      </c>
      <c r="U13" s="125">
        <v>125000</v>
      </c>
      <c r="V13" s="127">
        <v>0.1</v>
      </c>
      <c r="W13" s="127">
        <v>0.35</v>
      </c>
      <c r="X13" s="127">
        <v>0.25</v>
      </c>
      <c r="Y13" s="127">
        <v>0.15</v>
      </c>
      <c r="Z13" s="125">
        <v>-20137.088133742567</v>
      </c>
      <c r="AA13" s="127">
        <v>0.14390140143109154</v>
      </c>
      <c r="AB13" s="127">
        <v>0.14603096962941575</v>
      </c>
      <c r="AC13" s="133">
        <v>0.982862052652134</v>
      </c>
      <c r="AD13" s="135">
        <v>4.0979134629455958</v>
      </c>
    </row>
    <row r="14" spans="1:30" x14ac:dyDescent="0.35">
      <c r="A14" s="35" t="s">
        <v>8</v>
      </c>
      <c r="B14" s="35" t="s">
        <v>60</v>
      </c>
      <c r="C14" s="129">
        <f>VLOOKUP(Scenario,Scenario_Table,MATCH(A14,Field_names,0),0)</f>
        <v>125000</v>
      </c>
      <c r="L14" s="115" t="s">
        <v>100</v>
      </c>
      <c r="M14" s="107">
        <v>5</v>
      </c>
      <c r="N14" s="125">
        <v>1050000</v>
      </c>
      <c r="O14" s="125">
        <v>300000</v>
      </c>
      <c r="P14" s="125">
        <v>14250</v>
      </c>
      <c r="Q14" s="127">
        <v>0.05</v>
      </c>
      <c r="R14" s="125">
        <v>90</v>
      </c>
      <c r="S14" s="125">
        <v>65</v>
      </c>
      <c r="T14" s="125">
        <v>75000</v>
      </c>
      <c r="U14" s="125">
        <v>125000</v>
      </c>
      <c r="V14" s="127">
        <v>0.1</v>
      </c>
      <c r="W14" s="127">
        <v>0.35</v>
      </c>
      <c r="X14" s="127">
        <v>0.25</v>
      </c>
      <c r="Y14" s="127">
        <v>0.15</v>
      </c>
      <c r="Z14" s="125">
        <v>-103847.38565828418</v>
      </c>
      <c r="AA14" s="127">
        <v>0.11796587905404632</v>
      </c>
      <c r="AB14" s="127">
        <v>0.12891316445461398</v>
      </c>
      <c r="AC14" s="133">
        <v>0.91161924624826873</v>
      </c>
      <c r="AD14" s="135">
        <v>4.2297724316322736</v>
      </c>
    </row>
    <row r="15" spans="1:30" x14ac:dyDescent="0.35">
      <c r="A15" s="35" t="s">
        <v>59</v>
      </c>
      <c r="B15" s="35" t="s">
        <v>61</v>
      </c>
      <c r="C15" s="131">
        <f>VLOOKUP(Scenario,Scenario_Table,MATCH(A15,Field_names,0),0)</f>
        <v>0.1</v>
      </c>
      <c r="L15" s="115" t="s">
        <v>101</v>
      </c>
      <c r="M15" s="107">
        <v>5</v>
      </c>
      <c r="N15" s="125">
        <v>1050000</v>
      </c>
      <c r="O15" s="125">
        <v>300000</v>
      </c>
      <c r="P15" s="125">
        <v>15000</v>
      </c>
      <c r="Q15" s="127">
        <v>5.2500000000000005E-2</v>
      </c>
      <c r="R15" s="125">
        <v>90</v>
      </c>
      <c r="S15" s="125">
        <v>65</v>
      </c>
      <c r="T15" s="125">
        <v>75000</v>
      </c>
      <c r="U15" s="125">
        <v>125000</v>
      </c>
      <c r="V15" s="127">
        <v>0.1</v>
      </c>
      <c r="W15" s="127">
        <v>0.35</v>
      </c>
      <c r="X15" s="127">
        <v>0.25</v>
      </c>
      <c r="Y15" s="127">
        <v>0.15</v>
      </c>
      <c r="Z15" s="125">
        <v>-58303.608862813096</v>
      </c>
      <c r="AA15" s="127">
        <v>0.13221393889378041</v>
      </c>
      <c r="AB15" s="127">
        <v>0.13835387320685899</v>
      </c>
      <c r="AC15" s="133">
        <v>0.95037990735079736</v>
      </c>
      <c r="AD15" s="135">
        <v>4.1571650225316485</v>
      </c>
    </row>
    <row r="16" spans="1:30" x14ac:dyDescent="0.35">
      <c r="A16" s="35" t="s">
        <v>4</v>
      </c>
      <c r="B16" s="35" t="s">
        <v>19</v>
      </c>
      <c r="C16" s="130">
        <f>VLOOKUP(Scenario,Scenario_Table,MATCH(A16,Field_names,0),0)</f>
        <v>0.35</v>
      </c>
      <c r="L16" s="115" t="s">
        <v>102</v>
      </c>
      <c r="M16" s="107">
        <v>5</v>
      </c>
      <c r="N16" s="125">
        <v>1050000</v>
      </c>
      <c r="O16" s="125">
        <v>300000</v>
      </c>
      <c r="P16" s="125">
        <v>15000</v>
      </c>
      <c r="Q16" s="127">
        <v>4.7500000000000001E-2</v>
      </c>
      <c r="R16" s="125">
        <v>90</v>
      </c>
      <c r="S16" s="125">
        <v>65</v>
      </c>
      <c r="T16" s="125">
        <v>75000</v>
      </c>
      <c r="U16" s="125">
        <v>125000</v>
      </c>
      <c r="V16" s="127">
        <v>0.1</v>
      </c>
      <c r="W16" s="127">
        <v>0.35</v>
      </c>
      <c r="X16" s="127">
        <v>0.25</v>
      </c>
      <c r="Y16" s="127">
        <v>0.15</v>
      </c>
      <c r="Z16" s="125">
        <v>-65663.894568725256</v>
      </c>
      <c r="AA16" s="127">
        <v>0.12989674274401231</v>
      </c>
      <c r="AB16" s="127">
        <v>0.13684929463793316</v>
      </c>
      <c r="AC16" s="133">
        <v>0.94411583440959557</v>
      </c>
      <c r="AD16" s="135">
        <v>4.1664929021309218</v>
      </c>
    </row>
    <row r="17" spans="1:30" ht="15.75" customHeight="1" x14ac:dyDescent="0.35">
      <c r="A17" s="35" t="s">
        <v>54</v>
      </c>
      <c r="B17" s="35" t="s">
        <v>55</v>
      </c>
      <c r="C17" s="131">
        <f>VLOOKUP(Scenario,Scenario_Table,MATCH(A17,Field_names,0),0)</f>
        <v>0.25</v>
      </c>
      <c r="L17" s="115" t="s">
        <v>103</v>
      </c>
      <c r="M17" s="107">
        <v>5</v>
      </c>
      <c r="N17" s="125">
        <v>1050000</v>
      </c>
      <c r="O17" s="125">
        <v>300000</v>
      </c>
      <c r="P17" s="125">
        <v>15000</v>
      </c>
      <c r="Q17" s="127">
        <v>0.05</v>
      </c>
      <c r="R17" s="125">
        <v>94.5</v>
      </c>
      <c r="S17" s="125">
        <v>65</v>
      </c>
      <c r="T17" s="125">
        <v>75000</v>
      </c>
      <c r="U17" s="125">
        <v>125000</v>
      </c>
      <c r="V17" s="127">
        <v>0.1</v>
      </c>
      <c r="W17" s="127">
        <v>0.35</v>
      </c>
      <c r="X17" s="127">
        <v>0.25</v>
      </c>
      <c r="Y17" s="127">
        <v>0.15</v>
      </c>
      <c r="Z17" s="125">
        <v>95668.841374675278</v>
      </c>
      <c r="AA17" s="127">
        <v>0.17867628246308631</v>
      </c>
      <c r="AB17" s="127">
        <v>0.16814496967260495</v>
      </c>
      <c r="AC17" s="133">
        <v>1.0814202905316386</v>
      </c>
      <c r="AD17" s="135">
        <v>3.8058341014839074</v>
      </c>
    </row>
    <row r="18" spans="1:30" x14ac:dyDescent="0.35">
      <c r="A18" s="35" t="s">
        <v>12</v>
      </c>
      <c r="B18" s="35" t="s">
        <v>21</v>
      </c>
      <c r="C18" s="130">
        <f>VLOOKUP(Scenario,Scenario_Table,MATCH(A18,Field_names,0),0)</f>
        <v>0.15</v>
      </c>
      <c r="L18" s="115" t="s">
        <v>104</v>
      </c>
      <c r="M18" s="107">
        <v>5</v>
      </c>
      <c r="N18" s="125">
        <v>1050000</v>
      </c>
      <c r="O18" s="125">
        <v>300000</v>
      </c>
      <c r="P18" s="125">
        <v>15000</v>
      </c>
      <c r="Q18" s="127">
        <v>0.05</v>
      </c>
      <c r="R18" s="125">
        <v>85.5</v>
      </c>
      <c r="S18" s="125">
        <v>65</v>
      </c>
      <c r="T18" s="125">
        <v>75000</v>
      </c>
      <c r="U18" s="125">
        <v>125000</v>
      </c>
      <c r="V18" s="127">
        <v>0.1</v>
      </c>
      <c r="W18" s="127">
        <v>0.35</v>
      </c>
      <c r="X18" s="127">
        <v>0.25</v>
      </c>
      <c r="Y18" s="127">
        <v>0.15</v>
      </c>
      <c r="Z18" s="125">
        <v>-219653.31516670214</v>
      </c>
      <c r="AA18" s="127">
        <v>8.1413641861818098E-2</v>
      </c>
      <c r="AB18" s="127">
        <v>0.1033732917293837</v>
      </c>
      <c r="AC18" s="133">
        <v>0.81306100836876416</v>
      </c>
      <c r="AD18" s="135">
        <v>4.4457562736258751</v>
      </c>
    </row>
    <row r="19" spans="1:30" x14ac:dyDescent="0.35">
      <c r="L19" s="115" t="s">
        <v>105</v>
      </c>
      <c r="M19" s="107">
        <v>5</v>
      </c>
      <c r="N19" s="125">
        <v>1050000</v>
      </c>
      <c r="O19" s="125">
        <v>300000</v>
      </c>
      <c r="P19" s="125">
        <v>15000</v>
      </c>
      <c r="Q19" s="127">
        <v>0.05</v>
      </c>
      <c r="R19" s="125">
        <v>90</v>
      </c>
      <c r="S19" s="125">
        <v>68.25</v>
      </c>
      <c r="T19" s="125">
        <v>75000</v>
      </c>
      <c r="U19" s="125">
        <v>125000</v>
      </c>
      <c r="V19" s="127">
        <v>0.1</v>
      </c>
      <c r="W19" s="127">
        <v>0.35</v>
      </c>
      <c r="X19" s="127">
        <v>0.25</v>
      </c>
      <c r="Y19" s="127">
        <v>0.15</v>
      </c>
      <c r="Z19" s="125">
        <v>-177798.16640443157</v>
      </c>
      <c r="AA19" s="127">
        <v>9.5029309295941555E-2</v>
      </c>
      <c r="AB19" s="127">
        <v>0.11287626670416029</v>
      </c>
      <c r="AC19" s="133">
        <v>0.84868241157069657</v>
      </c>
      <c r="AD19" s="135">
        <v>4.3670119884085263</v>
      </c>
    </row>
    <row r="20" spans="1:30" x14ac:dyDescent="0.35">
      <c r="L20" s="115" t="s">
        <v>106</v>
      </c>
      <c r="M20" s="107">
        <v>5</v>
      </c>
      <c r="N20" s="125">
        <v>1050000</v>
      </c>
      <c r="O20" s="125">
        <v>300000</v>
      </c>
      <c r="P20" s="125">
        <v>15000</v>
      </c>
      <c r="Q20" s="127">
        <v>0.05</v>
      </c>
      <c r="R20" s="125">
        <v>90</v>
      </c>
      <c r="S20" s="125">
        <v>61.75</v>
      </c>
      <c r="T20" s="125">
        <v>75000</v>
      </c>
      <c r="U20" s="125">
        <v>125000</v>
      </c>
      <c r="V20" s="127">
        <v>0.1</v>
      </c>
      <c r="W20" s="127">
        <v>0.35</v>
      </c>
      <c r="X20" s="127">
        <v>0.25</v>
      </c>
      <c r="Y20" s="127">
        <v>0.15</v>
      </c>
      <c r="Z20" s="125">
        <v>53813.692612404469</v>
      </c>
      <c r="AA20" s="127">
        <v>0.16626937849545698</v>
      </c>
      <c r="AB20" s="127">
        <v>0.16034590907080126</v>
      </c>
      <c r="AC20" s="133">
        <v>1.0457988873297059</v>
      </c>
      <c r="AD20" s="135">
        <v>3.9424079784023829</v>
      </c>
    </row>
    <row r="21" spans="1:30" ht="23" thickBot="1" x14ac:dyDescent="0.5">
      <c r="A21" s="102" t="s">
        <v>33</v>
      </c>
      <c r="B21" s="59" t="s">
        <v>120</v>
      </c>
      <c r="C21" s="59" t="s">
        <v>121</v>
      </c>
      <c r="D21" s="59" t="s">
        <v>122</v>
      </c>
      <c r="E21" s="59" t="s">
        <v>123</v>
      </c>
      <c r="F21" s="59" t="s">
        <v>124</v>
      </c>
      <c r="G21" s="59" t="s">
        <v>125</v>
      </c>
      <c r="H21" s="60" t="s">
        <v>126</v>
      </c>
      <c r="L21" s="115" t="s">
        <v>107</v>
      </c>
      <c r="M21" s="107">
        <v>5</v>
      </c>
      <c r="N21" s="125">
        <v>1050000</v>
      </c>
      <c r="O21" s="125">
        <v>300000</v>
      </c>
      <c r="P21" s="125">
        <v>15000</v>
      </c>
      <c r="Q21" s="127">
        <v>0.05</v>
      </c>
      <c r="R21" s="125">
        <v>90</v>
      </c>
      <c r="S21" s="125">
        <v>65</v>
      </c>
      <c r="T21" s="125">
        <v>78750</v>
      </c>
      <c r="U21" s="125">
        <v>125000</v>
      </c>
      <c r="V21" s="127">
        <v>0.1</v>
      </c>
      <c r="W21" s="127">
        <v>0.35</v>
      </c>
      <c r="X21" s="127">
        <v>0.25</v>
      </c>
      <c r="Y21" s="127">
        <v>0.15</v>
      </c>
      <c r="Z21" s="125">
        <v>-70163.114947416121</v>
      </c>
      <c r="AA21" s="127">
        <v>0.12854527422508188</v>
      </c>
      <c r="AB21" s="127">
        <v>0.13592563340390651</v>
      </c>
      <c r="AC21" s="133">
        <v>0.94028671068305014</v>
      </c>
      <c r="AD21" s="135">
        <v>4.1756696616528952</v>
      </c>
    </row>
    <row r="22" spans="1:30" ht="15" thickTop="1" x14ac:dyDescent="0.35">
      <c r="A22" s="46"/>
      <c r="B22" s="46"/>
      <c r="C22" s="46"/>
      <c r="D22" s="46"/>
      <c r="E22" s="46"/>
      <c r="F22" s="46"/>
      <c r="G22" s="46"/>
      <c r="H22" s="47"/>
      <c r="L22" s="115" t="s">
        <v>108</v>
      </c>
      <c r="M22" s="107">
        <v>5</v>
      </c>
      <c r="N22" s="125">
        <v>1050000</v>
      </c>
      <c r="O22" s="125">
        <v>300000</v>
      </c>
      <c r="P22" s="125">
        <v>15000</v>
      </c>
      <c r="Q22" s="127">
        <v>0.05</v>
      </c>
      <c r="R22" s="125">
        <v>90</v>
      </c>
      <c r="S22" s="125">
        <v>65</v>
      </c>
      <c r="T22" s="125">
        <v>71250</v>
      </c>
      <c r="U22" s="125">
        <v>125000</v>
      </c>
      <c r="V22" s="127">
        <v>0.1</v>
      </c>
      <c r="W22" s="127">
        <v>0.35</v>
      </c>
      <c r="X22" s="127">
        <v>0.25</v>
      </c>
      <c r="Y22" s="127">
        <v>0.15</v>
      </c>
      <c r="Z22" s="125">
        <v>-53821.358844610862</v>
      </c>
      <c r="AA22" s="127">
        <v>0.13356130984484804</v>
      </c>
      <c r="AB22" s="127">
        <v>0.13926624550438182</v>
      </c>
      <c r="AC22" s="133">
        <v>0.95419458821735248</v>
      </c>
      <c r="AD22" s="135">
        <v>4.1480455171874198</v>
      </c>
    </row>
    <row r="23" spans="1:30" s="1" customFormat="1" ht="19" thickBot="1" x14ac:dyDescent="0.5">
      <c r="A23" s="151" t="s">
        <v>24</v>
      </c>
      <c r="B23" s="58"/>
      <c r="C23" s="58">
        <v>0</v>
      </c>
      <c r="D23" s="58">
        <v>1</v>
      </c>
      <c r="E23" s="58">
        <v>2</v>
      </c>
      <c r="F23" s="58">
        <v>3</v>
      </c>
      <c r="G23" s="58">
        <v>4</v>
      </c>
      <c r="H23" s="58">
        <v>5</v>
      </c>
      <c r="I23"/>
      <c r="J23"/>
      <c r="K23"/>
      <c r="L23" s="115" t="s">
        <v>109</v>
      </c>
      <c r="M23" s="107">
        <v>5</v>
      </c>
      <c r="N23" s="125">
        <v>1050000</v>
      </c>
      <c r="O23" s="125">
        <v>300000</v>
      </c>
      <c r="P23" s="125">
        <v>15000</v>
      </c>
      <c r="Q23" s="127">
        <v>0.05</v>
      </c>
      <c r="R23" s="125">
        <v>90</v>
      </c>
      <c r="S23" s="125">
        <v>65</v>
      </c>
      <c r="T23" s="124">
        <v>75000</v>
      </c>
      <c r="U23" s="124">
        <v>131250</v>
      </c>
      <c r="V23" s="126">
        <v>0.1</v>
      </c>
      <c r="W23" s="126">
        <v>0.35</v>
      </c>
      <c r="X23" s="126">
        <v>0.25</v>
      </c>
      <c r="Y23" s="126">
        <v>0.15</v>
      </c>
      <c r="Z23" s="124">
        <v>-61992.236896013375</v>
      </c>
      <c r="AA23" s="126">
        <v>0.13105476457530618</v>
      </c>
      <c r="AB23" s="126">
        <v>0.1376008443613328</v>
      </c>
      <c r="AC23" s="132">
        <v>0.94724064945020137</v>
      </c>
      <c r="AD23" s="134">
        <v>4.1618117509128894</v>
      </c>
    </row>
    <row r="24" spans="1:30" ht="18" thickTop="1" thickBot="1" x14ac:dyDescent="0.45">
      <c r="A24" s="151" t="s">
        <v>27</v>
      </c>
      <c r="B24" s="46"/>
      <c r="C24" s="46"/>
      <c r="D24" s="48">
        <f>FYS_Vol</f>
        <v>15000</v>
      </c>
      <c r="E24" s="48">
        <f>D24 * (1+GR)</f>
        <v>15750</v>
      </c>
      <c r="F24" s="48">
        <f>E24 * (1+GR)</f>
        <v>16537.5</v>
      </c>
      <c r="G24" s="48">
        <f>F24 * (1+GR)</f>
        <v>17364.375</v>
      </c>
      <c r="H24" s="49">
        <f>G24 * (1+GR)</f>
        <v>18232.59375</v>
      </c>
      <c r="L24" s="115" t="s">
        <v>110</v>
      </c>
      <c r="M24" s="107">
        <v>5</v>
      </c>
      <c r="N24" s="125">
        <v>1050000</v>
      </c>
      <c r="O24" s="125">
        <v>300000</v>
      </c>
      <c r="P24" s="125">
        <v>15000</v>
      </c>
      <c r="Q24" s="127">
        <v>0.05</v>
      </c>
      <c r="R24" s="125">
        <v>90</v>
      </c>
      <c r="S24" s="125">
        <v>65</v>
      </c>
      <c r="T24" s="125">
        <v>75000</v>
      </c>
      <c r="U24" s="125">
        <v>118750</v>
      </c>
      <c r="V24" s="127">
        <v>0.1</v>
      </c>
      <c r="W24" s="127">
        <v>0.35</v>
      </c>
      <c r="X24" s="127">
        <v>0.25</v>
      </c>
      <c r="Y24" s="127">
        <v>0.15</v>
      </c>
      <c r="Z24" s="125">
        <v>-61992.236896013375</v>
      </c>
      <c r="AA24" s="127">
        <v>0.13105476457530618</v>
      </c>
      <c r="AB24" s="127">
        <v>0.1376008443613328</v>
      </c>
      <c r="AC24" s="133">
        <v>0.94724064945020137</v>
      </c>
      <c r="AD24" s="135">
        <v>4.1618117509128894</v>
      </c>
    </row>
    <row r="25" spans="1:30" ht="18" thickTop="1" thickBot="1" x14ac:dyDescent="0.45">
      <c r="A25" s="151" t="s">
        <v>9</v>
      </c>
      <c r="B25" s="46"/>
      <c r="C25" s="46"/>
      <c r="D25" s="48">
        <f>D24*Rev_unit</f>
        <v>1350000</v>
      </c>
      <c r="E25" s="48">
        <f>E24*Rev_unit</f>
        <v>1417500</v>
      </c>
      <c r="F25" s="48">
        <f>F24*Rev_unit</f>
        <v>1488375</v>
      </c>
      <c r="G25" s="48">
        <f>G24*Rev_unit</f>
        <v>1562793.75</v>
      </c>
      <c r="H25" s="49">
        <f>H24*Rev_unit</f>
        <v>1640933.4375</v>
      </c>
      <c r="L25" s="115" t="s">
        <v>111</v>
      </c>
      <c r="M25" s="107">
        <v>5</v>
      </c>
      <c r="N25" s="125">
        <v>1050000</v>
      </c>
      <c r="O25" s="125">
        <v>300000</v>
      </c>
      <c r="P25" s="125">
        <v>15000</v>
      </c>
      <c r="Q25" s="127">
        <v>0.05</v>
      </c>
      <c r="R25" s="125">
        <v>90</v>
      </c>
      <c r="S25" s="125">
        <v>65</v>
      </c>
      <c r="T25" s="125">
        <v>75000</v>
      </c>
      <c r="U25" s="125">
        <v>125000</v>
      </c>
      <c r="V25" s="127">
        <v>0.10500000000000001</v>
      </c>
      <c r="W25" s="127">
        <v>0.35</v>
      </c>
      <c r="X25" s="127">
        <v>0.25</v>
      </c>
      <c r="Y25" s="127">
        <v>0.15</v>
      </c>
      <c r="Z25" s="125">
        <v>-61992.236896013375</v>
      </c>
      <c r="AA25" s="127">
        <v>0.13105476457530618</v>
      </c>
      <c r="AB25" s="127">
        <v>0.1376008443613328</v>
      </c>
      <c r="AC25" s="133">
        <v>0.94724064945020137</v>
      </c>
      <c r="AD25" s="135">
        <v>4.1618117509128894</v>
      </c>
    </row>
    <row r="26" spans="1:30" ht="18" thickTop="1" thickBot="1" x14ac:dyDescent="0.45">
      <c r="A26" s="151" t="s">
        <v>7</v>
      </c>
      <c r="B26" s="46"/>
      <c r="C26" s="46"/>
      <c r="D26" s="48">
        <f>-D24*VC</f>
        <v>-975000</v>
      </c>
      <c r="E26" s="48">
        <f>-E24*VC</f>
        <v>-1023750</v>
      </c>
      <c r="F26" s="48">
        <f>-F24*VC</f>
        <v>-1074937.5</v>
      </c>
      <c r="G26" s="48">
        <f>-G24*VC</f>
        <v>-1128684.375</v>
      </c>
      <c r="H26" s="49">
        <f>-H24*VC</f>
        <v>-1185118.59375</v>
      </c>
      <c r="L26" s="115" t="s">
        <v>112</v>
      </c>
      <c r="M26" s="107">
        <v>5</v>
      </c>
      <c r="N26" s="125">
        <v>1050000</v>
      </c>
      <c r="O26" s="125">
        <v>300000</v>
      </c>
      <c r="P26" s="125">
        <v>15000</v>
      </c>
      <c r="Q26" s="127">
        <v>0.05</v>
      </c>
      <c r="R26" s="125">
        <v>90</v>
      </c>
      <c r="S26" s="125">
        <v>65</v>
      </c>
      <c r="T26" s="125">
        <v>75000</v>
      </c>
      <c r="U26" s="125">
        <v>125000</v>
      </c>
      <c r="V26" s="127">
        <v>9.5000000000000001E-2</v>
      </c>
      <c r="W26" s="127">
        <v>0.35</v>
      </c>
      <c r="X26" s="127">
        <v>0.25</v>
      </c>
      <c r="Y26" s="127">
        <v>0.15</v>
      </c>
      <c r="Z26" s="125">
        <v>-61992.236896013375</v>
      </c>
      <c r="AA26" s="127">
        <v>0.13105476457530618</v>
      </c>
      <c r="AB26" s="127">
        <v>0.1376008443613328</v>
      </c>
      <c r="AC26" s="133">
        <v>0.94724064945020137</v>
      </c>
      <c r="AD26" s="135">
        <v>4.1618117509128894</v>
      </c>
    </row>
    <row r="27" spans="1:30" ht="18" thickTop="1" thickBot="1" x14ac:dyDescent="0.45">
      <c r="A27" s="151" t="s">
        <v>5</v>
      </c>
      <c r="B27" s="46"/>
      <c r="C27" s="46"/>
      <c r="D27" s="48">
        <f>-FC</f>
        <v>-75000</v>
      </c>
      <c r="E27" s="48">
        <f>-FC</f>
        <v>-75000</v>
      </c>
      <c r="F27" s="48">
        <f>-FC</f>
        <v>-75000</v>
      </c>
      <c r="G27" s="48">
        <f>-FC</f>
        <v>-75000</v>
      </c>
      <c r="H27" s="49">
        <f>-FC</f>
        <v>-75000</v>
      </c>
      <c r="L27" s="115" t="s">
        <v>113</v>
      </c>
      <c r="M27" s="107">
        <v>5</v>
      </c>
      <c r="N27" s="125">
        <v>1050000</v>
      </c>
      <c r="O27" s="125">
        <v>300000</v>
      </c>
      <c r="P27" s="125">
        <v>15000</v>
      </c>
      <c r="Q27" s="127">
        <v>0.05</v>
      </c>
      <c r="R27" s="125">
        <v>90</v>
      </c>
      <c r="S27" s="125">
        <v>65</v>
      </c>
      <c r="T27" s="125">
        <v>75000</v>
      </c>
      <c r="U27" s="125">
        <v>125000</v>
      </c>
      <c r="V27" s="127">
        <v>0.1</v>
      </c>
      <c r="W27" s="127">
        <v>0.36749999999999999</v>
      </c>
      <c r="X27" s="127">
        <v>0.25</v>
      </c>
      <c r="Y27" s="127">
        <v>0.15</v>
      </c>
      <c r="Z27" s="125">
        <v>-72502.326049124124</v>
      </c>
      <c r="AA27" s="127">
        <v>0.12780203781863331</v>
      </c>
      <c r="AB27" s="127">
        <v>0.13544421879802893</v>
      </c>
      <c r="AC27" s="133">
        <v>0.9382958927241497</v>
      </c>
      <c r="AD27" s="135">
        <v>4.1786399945151373</v>
      </c>
    </row>
    <row r="28" spans="1:30" ht="18" thickTop="1" thickBot="1" x14ac:dyDescent="0.45">
      <c r="A28" s="151" t="s">
        <v>53</v>
      </c>
      <c r="B28" s="46"/>
      <c r="C28" s="46"/>
      <c r="D28" s="50">
        <f>'CCA Schedule'!D10</f>
        <v>-131250</v>
      </c>
      <c r="E28" s="50">
        <f>'CCA Schedule'!E10</f>
        <v>-229687.5</v>
      </c>
      <c r="F28" s="50">
        <f>'CCA Schedule'!F10</f>
        <v>-172265.625</v>
      </c>
      <c r="G28" s="50">
        <f>'CCA Schedule'!G10</f>
        <v>-129199.21875</v>
      </c>
      <c r="H28" s="51">
        <f>'CCA Schedule'!H10</f>
        <v>-96899.4140625</v>
      </c>
      <c r="L28" s="115" t="s">
        <v>114</v>
      </c>
      <c r="M28" s="107">
        <v>5</v>
      </c>
      <c r="N28" s="125">
        <v>1050000</v>
      </c>
      <c r="O28" s="125">
        <v>300000</v>
      </c>
      <c r="P28" s="125">
        <v>15000</v>
      </c>
      <c r="Q28" s="127">
        <v>0.05</v>
      </c>
      <c r="R28" s="125">
        <v>90</v>
      </c>
      <c r="S28" s="125">
        <v>65</v>
      </c>
      <c r="T28" s="125">
        <v>75000</v>
      </c>
      <c r="U28" s="125">
        <v>125000</v>
      </c>
      <c r="V28" s="127">
        <v>0.1</v>
      </c>
      <c r="W28" s="127">
        <v>0.36749999999999999</v>
      </c>
      <c r="X28" s="127">
        <v>0.25</v>
      </c>
      <c r="Y28" s="127">
        <v>0.15</v>
      </c>
      <c r="Z28" s="125">
        <v>-72502.326049124124</v>
      </c>
      <c r="AA28" s="127">
        <v>0.12780203781863331</v>
      </c>
      <c r="AB28" s="127">
        <v>0.13544421879802893</v>
      </c>
      <c r="AC28" s="133">
        <v>0.9382958927241497</v>
      </c>
      <c r="AD28" s="135">
        <v>4.1786399945151373</v>
      </c>
    </row>
    <row r="29" spans="1:30" s="1" customFormat="1" ht="18" thickTop="1" thickBot="1" x14ac:dyDescent="0.45">
      <c r="A29" s="151" t="s">
        <v>56</v>
      </c>
      <c r="B29" s="46"/>
      <c r="C29" s="46"/>
      <c r="D29" s="48"/>
      <c r="E29" s="48"/>
      <c r="F29" s="48"/>
      <c r="G29" s="48"/>
      <c r="H29" s="51">
        <f>Sal-'CCA Schedule'!H11</f>
        <v>9301.7578125</v>
      </c>
      <c r="I29"/>
      <c r="J29"/>
      <c r="K29"/>
      <c r="L29" s="115" t="s">
        <v>115</v>
      </c>
      <c r="M29" s="107">
        <v>5</v>
      </c>
      <c r="N29" s="125">
        <v>1050000</v>
      </c>
      <c r="O29" s="125">
        <v>300000</v>
      </c>
      <c r="P29" s="125">
        <v>15000</v>
      </c>
      <c r="Q29" s="127">
        <v>0.05</v>
      </c>
      <c r="R29" s="125">
        <v>90</v>
      </c>
      <c r="S29" s="125">
        <v>65</v>
      </c>
      <c r="T29" s="124">
        <v>75000</v>
      </c>
      <c r="U29" s="124">
        <v>125000</v>
      </c>
      <c r="V29" s="126">
        <v>0.1</v>
      </c>
      <c r="W29" s="126">
        <v>0.35</v>
      </c>
      <c r="X29" s="126">
        <v>0.26250000000000001</v>
      </c>
      <c r="Y29" s="126">
        <v>0.15</v>
      </c>
      <c r="Z29" s="124">
        <v>-61992.236896013375</v>
      </c>
      <c r="AA29" s="126">
        <v>0.13105476457530618</v>
      </c>
      <c r="AB29" s="126">
        <v>0.1376008443613328</v>
      </c>
      <c r="AC29" s="132">
        <v>0.94724064945020137</v>
      </c>
      <c r="AD29" s="134">
        <v>4.1618117509128894</v>
      </c>
    </row>
    <row r="30" spans="1:30" s="1" customFormat="1" ht="18" thickTop="1" thickBot="1" x14ac:dyDescent="0.45">
      <c r="A30" s="151" t="s">
        <v>10</v>
      </c>
      <c r="B30" s="46"/>
      <c r="C30" s="46"/>
      <c r="D30" s="52">
        <f>SUM(D25:D29)</f>
        <v>168750</v>
      </c>
      <c r="E30" s="52">
        <f>SUM(E25:E29)</f>
        <v>89062.5</v>
      </c>
      <c r="F30" s="52">
        <f>SUM(F25:F29)</f>
        <v>166171.875</v>
      </c>
      <c r="G30" s="52">
        <f>SUM(G25:G29)</f>
        <v>229910.15625</v>
      </c>
      <c r="H30" s="53">
        <f>SUM(H25:H29)</f>
        <v>293217.1875</v>
      </c>
      <c r="I30"/>
      <c r="J30"/>
      <c r="K30"/>
      <c r="L30" s="115" t="s">
        <v>116</v>
      </c>
      <c r="M30" s="107">
        <v>5</v>
      </c>
      <c r="N30" s="125">
        <v>1050000</v>
      </c>
      <c r="O30" s="125">
        <v>300000</v>
      </c>
      <c r="P30" s="125">
        <v>15000</v>
      </c>
      <c r="Q30" s="127">
        <v>0.05</v>
      </c>
      <c r="R30" s="125">
        <v>90</v>
      </c>
      <c r="S30" s="125">
        <v>65</v>
      </c>
      <c r="T30" s="124">
        <v>75000</v>
      </c>
      <c r="U30" s="124">
        <v>125000</v>
      </c>
      <c r="V30" s="126">
        <v>0.1</v>
      </c>
      <c r="W30" s="126">
        <v>0.35</v>
      </c>
      <c r="X30" s="126">
        <v>0.23749999999999999</v>
      </c>
      <c r="Y30" s="126">
        <v>0.15</v>
      </c>
      <c r="Z30" s="124">
        <v>-61992.236896013375</v>
      </c>
      <c r="AA30" s="126">
        <v>0.13105476457530618</v>
      </c>
      <c r="AB30" s="126">
        <v>0.1376008443613328</v>
      </c>
      <c r="AC30" s="132">
        <v>0.94724064945020137</v>
      </c>
      <c r="AD30" s="134">
        <v>4.1618117509128894</v>
      </c>
    </row>
    <row r="31" spans="1:30" ht="18" thickTop="1" thickBot="1" x14ac:dyDescent="0.45">
      <c r="A31" s="151" t="s">
        <v>11</v>
      </c>
      <c r="B31" s="46"/>
      <c r="C31" s="46"/>
      <c r="D31" s="54">
        <f>-Tax_Rate*D30</f>
        <v>-59062.499999999993</v>
      </c>
      <c r="E31" s="54">
        <f>-Tax_Rate*E30</f>
        <v>-31171.874999999996</v>
      </c>
      <c r="F31" s="54">
        <f>-Tax_Rate*F30</f>
        <v>-58160.156249999993</v>
      </c>
      <c r="G31" s="54">
        <f>-Tax_Rate*G30</f>
        <v>-80468.5546875</v>
      </c>
      <c r="H31" s="55">
        <f>-Tax_Rate*H30</f>
        <v>-102626.015625</v>
      </c>
      <c r="L31" s="115" t="s">
        <v>117</v>
      </c>
      <c r="M31" s="107">
        <v>5</v>
      </c>
      <c r="N31" s="125">
        <v>1050000</v>
      </c>
      <c r="O31" s="125">
        <v>300000</v>
      </c>
      <c r="P31" s="125">
        <v>15000</v>
      </c>
      <c r="Q31" s="127">
        <v>0.05</v>
      </c>
      <c r="R31" s="125">
        <v>90</v>
      </c>
      <c r="S31" s="125">
        <v>65</v>
      </c>
      <c r="T31" s="125">
        <v>75000</v>
      </c>
      <c r="U31" s="125">
        <v>125000</v>
      </c>
      <c r="V31" s="127">
        <v>0.1</v>
      </c>
      <c r="W31" s="127">
        <v>0.35</v>
      </c>
      <c r="X31" s="127">
        <v>0.25</v>
      </c>
      <c r="Y31" s="127">
        <v>0.1575</v>
      </c>
      <c r="Z31" s="125">
        <v>-85163.228733039927</v>
      </c>
      <c r="AA31" s="127">
        <v>0.13105476457530618</v>
      </c>
      <c r="AB31" s="127">
        <v>0.1402122898520457</v>
      </c>
      <c r="AC31" s="133">
        <v>0.92752065639741288</v>
      </c>
      <c r="AD31" s="135">
        <v>4.1618117509128894</v>
      </c>
    </row>
    <row r="32" spans="1:30" s="1" customFormat="1" ht="18" thickTop="1" thickBot="1" x14ac:dyDescent="0.45">
      <c r="A32" s="151" t="s">
        <v>57</v>
      </c>
      <c r="B32" s="46"/>
      <c r="C32" s="46"/>
      <c r="D32" s="56">
        <f>SUM(D30:D31)</f>
        <v>109687.5</v>
      </c>
      <c r="E32" s="56">
        <f>SUM(E30:E31)</f>
        <v>57890.625</v>
      </c>
      <c r="F32" s="56">
        <f>SUM(F30:F31)</f>
        <v>108011.71875</v>
      </c>
      <c r="G32" s="56">
        <f>SUM(G30:G31)</f>
        <v>149441.6015625</v>
      </c>
      <c r="H32" s="57">
        <f>SUM(H30:H31)</f>
        <v>190591.171875</v>
      </c>
      <c r="I32"/>
      <c r="J32"/>
      <c r="K32"/>
      <c r="L32" s="115" t="s">
        <v>118</v>
      </c>
      <c r="M32" s="107">
        <v>5</v>
      </c>
      <c r="N32" s="125">
        <v>1050000</v>
      </c>
      <c r="O32" s="125">
        <v>300000</v>
      </c>
      <c r="P32" s="125">
        <v>15000</v>
      </c>
      <c r="Q32" s="127">
        <v>0.05</v>
      </c>
      <c r="R32" s="125">
        <v>90</v>
      </c>
      <c r="S32" s="125">
        <v>65</v>
      </c>
      <c r="T32" s="124">
        <v>75000</v>
      </c>
      <c r="U32" s="124">
        <v>125000</v>
      </c>
      <c r="V32" s="126">
        <v>0.1</v>
      </c>
      <c r="W32" s="126">
        <v>0.35</v>
      </c>
      <c r="X32" s="126">
        <v>0.25</v>
      </c>
      <c r="Y32" s="126">
        <v>0.14249999999999999</v>
      </c>
      <c r="Z32" s="124">
        <v>-38060.319914510008</v>
      </c>
      <c r="AA32" s="126">
        <v>0.13105476457530618</v>
      </c>
      <c r="AB32" s="126">
        <v>0.13500067605466848</v>
      </c>
      <c r="AC32" s="132">
        <v>0.96760823837062981</v>
      </c>
      <c r="AD32" s="134">
        <v>4.1618117509128894</v>
      </c>
    </row>
    <row r="33" spans="1:13" s="1" customFormat="1" ht="15" thickTop="1" x14ac:dyDescent="0.35">
      <c r="A33" s="152"/>
      <c r="B33"/>
      <c r="C33"/>
      <c r="D33" s="30"/>
      <c r="E33" s="30"/>
      <c r="F33" s="30"/>
      <c r="G33" s="30"/>
      <c r="H33" s="30"/>
      <c r="I33" t="s">
        <v>2</v>
      </c>
      <c r="J33"/>
      <c r="K33"/>
      <c r="L33"/>
      <c r="M33"/>
    </row>
    <row r="34" spans="1:13" x14ac:dyDescent="0.35">
      <c r="D34" s="30"/>
      <c r="E34" s="30"/>
      <c r="F34" s="30"/>
      <c r="G34" s="30"/>
      <c r="H34" s="30"/>
    </row>
    <row r="35" spans="1:13" ht="23" thickBot="1" x14ac:dyDescent="0.5">
      <c r="A35" s="103" t="s">
        <v>13</v>
      </c>
      <c r="B35" s="61"/>
      <c r="C35" s="61"/>
      <c r="D35" s="61"/>
      <c r="E35" s="61"/>
      <c r="F35" s="61"/>
      <c r="G35" s="61"/>
      <c r="H35" s="61"/>
    </row>
    <row r="36" spans="1:13" ht="15" thickTop="1" x14ac:dyDescent="0.35">
      <c r="A36" s="61"/>
      <c r="B36" s="62"/>
      <c r="C36" s="62" t="s">
        <v>2</v>
      </c>
      <c r="D36" s="63"/>
      <c r="E36" s="63"/>
      <c r="F36" s="63"/>
      <c r="G36" s="63"/>
      <c r="H36" s="63"/>
    </row>
    <row r="37" spans="1:13" s="1" customFormat="1" ht="17.5" thickBot="1" x14ac:dyDescent="0.45">
      <c r="A37" s="97" t="s">
        <v>1</v>
      </c>
      <c r="B37" s="62"/>
      <c r="C37" s="117">
        <f>C23</f>
        <v>0</v>
      </c>
      <c r="D37" s="118">
        <f>D23</f>
        <v>1</v>
      </c>
      <c r="E37" s="118">
        <f>E23</f>
        <v>2</v>
      </c>
      <c r="F37" s="118">
        <f>F23</f>
        <v>3</v>
      </c>
      <c r="G37" s="118">
        <f>G23</f>
        <v>4</v>
      </c>
      <c r="H37" s="118">
        <f>H23</f>
        <v>5</v>
      </c>
      <c r="I37"/>
      <c r="K37"/>
      <c r="L37"/>
      <c r="M37"/>
    </row>
    <row r="38" spans="1:13" ht="18" thickTop="1" thickBot="1" x14ac:dyDescent="0.45">
      <c r="A38" s="97" t="s">
        <v>58</v>
      </c>
      <c r="B38" s="62"/>
      <c r="C38" s="62"/>
      <c r="D38" s="64">
        <f>D32</f>
        <v>109687.5</v>
      </c>
      <c r="E38" s="64">
        <f>E32</f>
        <v>57890.625</v>
      </c>
      <c r="F38" s="64">
        <f>F32</f>
        <v>108011.71875</v>
      </c>
      <c r="G38" s="64">
        <f>G32</f>
        <v>149441.6015625</v>
      </c>
      <c r="H38" s="64">
        <f>H32</f>
        <v>190591.171875</v>
      </c>
    </row>
    <row r="39" spans="1:13" ht="15" customHeight="1" thickTop="1" thickBot="1" x14ac:dyDescent="0.45">
      <c r="A39" s="97" t="s">
        <v>62</v>
      </c>
      <c r="B39" s="62"/>
      <c r="C39" s="62"/>
      <c r="D39" s="64">
        <f>-SUM(D28:D29)</f>
        <v>131250</v>
      </c>
      <c r="E39" s="64">
        <f>-SUM(E28:E29)</f>
        <v>229687.5</v>
      </c>
      <c r="F39" s="64">
        <f>-SUM(F28:F29)</f>
        <v>172265.625</v>
      </c>
      <c r="G39" s="64">
        <f>-SUM(G28:G29)</f>
        <v>129199.21875</v>
      </c>
      <c r="H39" s="64">
        <f>-SUM(H28:H29)</f>
        <v>87597.65625</v>
      </c>
    </row>
    <row r="40" spans="1:13" s="1" customFormat="1" ht="18" thickTop="1" thickBot="1" x14ac:dyDescent="0.45">
      <c r="A40" s="97" t="s">
        <v>28</v>
      </c>
      <c r="B40" s="62"/>
      <c r="C40" s="62"/>
      <c r="D40" s="65">
        <f>SUM(D38:D39)</f>
        <v>240937.5</v>
      </c>
      <c r="E40" s="65">
        <f>SUM(E38:E39)</f>
        <v>287578.125</v>
      </c>
      <c r="F40" s="65">
        <f>SUM(F38:F39)</f>
        <v>280277.34375</v>
      </c>
      <c r="G40" s="65">
        <f>SUM(G38:G39)</f>
        <v>278640.8203125</v>
      </c>
      <c r="H40" s="65">
        <f>SUM(H38:H39)</f>
        <v>278188.828125</v>
      </c>
      <c r="I40"/>
      <c r="K40"/>
      <c r="L40"/>
      <c r="M40"/>
    </row>
    <row r="41" spans="1:13" s="1" customFormat="1" ht="15" thickTop="1" x14ac:dyDescent="0.35">
      <c r="A41"/>
      <c r="B41"/>
      <c r="C41"/>
      <c r="D41"/>
      <c r="E41"/>
      <c r="F41"/>
      <c r="G41"/>
      <c r="H41"/>
      <c r="I41"/>
      <c r="J41"/>
      <c r="K41"/>
      <c r="L41"/>
      <c r="M41"/>
    </row>
    <row r="43" spans="1:13" ht="23" thickBot="1" x14ac:dyDescent="0.5">
      <c r="A43" s="104" t="s">
        <v>78</v>
      </c>
      <c r="B43" s="66"/>
      <c r="C43" s="66"/>
      <c r="D43" s="66"/>
      <c r="E43" s="66"/>
      <c r="F43" s="66"/>
      <c r="G43" s="66"/>
      <c r="H43" s="66"/>
    </row>
    <row r="44" spans="1:13" ht="15" thickTop="1" x14ac:dyDescent="0.35">
      <c r="A44" s="69"/>
      <c r="B44" s="66"/>
      <c r="C44" s="119">
        <f>C23</f>
        <v>0</v>
      </c>
      <c r="D44" s="119">
        <f>D23</f>
        <v>1</v>
      </c>
      <c r="E44" s="119">
        <f>E23</f>
        <v>2</v>
      </c>
      <c r="F44" s="119">
        <f>F23</f>
        <v>3</v>
      </c>
      <c r="G44" s="119">
        <f>G23</f>
        <v>4</v>
      </c>
      <c r="H44" s="119">
        <f>H23</f>
        <v>5</v>
      </c>
    </row>
    <row r="45" spans="1:13" ht="17.5" thickBot="1" x14ac:dyDescent="0.45">
      <c r="A45" s="95" t="s">
        <v>1</v>
      </c>
      <c r="B45" s="66"/>
      <c r="C45" s="67">
        <f>-CapEx</f>
        <v>-1050000</v>
      </c>
      <c r="D45" s="67"/>
      <c r="E45" s="67"/>
      <c r="F45" s="67"/>
      <c r="G45" s="67"/>
      <c r="H45" s="67">
        <f>Sal</f>
        <v>300000</v>
      </c>
    </row>
    <row r="46" spans="1:13" ht="18" thickTop="1" thickBot="1" x14ac:dyDescent="0.45">
      <c r="A46" s="96" t="s">
        <v>29</v>
      </c>
      <c r="B46" s="66"/>
      <c r="C46" s="67"/>
      <c r="D46" s="67">
        <f>D40</f>
        <v>240937.5</v>
      </c>
      <c r="E46" s="67">
        <f>E40</f>
        <v>287578.125</v>
      </c>
      <c r="F46" s="67">
        <f>F40</f>
        <v>280277.34375</v>
      </c>
      <c r="G46" s="67">
        <f>G40</f>
        <v>278640.8203125</v>
      </c>
      <c r="H46" s="67">
        <f>H40</f>
        <v>278188.828125</v>
      </c>
    </row>
    <row r="47" spans="1:13" ht="18" thickTop="1" thickBot="1" x14ac:dyDescent="0.45">
      <c r="A47" s="95" t="s">
        <v>28</v>
      </c>
      <c r="B47" s="66"/>
      <c r="C47" s="68">
        <f>'NWC Schedule'!C11</f>
        <v>-125000</v>
      </c>
      <c r="D47" s="68">
        <f>'NWC Schedule'!D11</f>
        <v>-10000</v>
      </c>
      <c r="E47" s="68">
        <f>'NWC Schedule'!E11</f>
        <v>-6750</v>
      </c>
      <c r="F47" s="68">
        <f>'NWC Schedule'!F11</f>
        <v>-7087.5</v>
      </c>
      <c r="G47" s="68">
        <f>'NWC Schedule'!G11</f>
        <v>-7441.875</v>
      </c>
      <c r="H47" s="68">
        <f>'NWC Schedule'!H11</f>
        <v>156279.375</v>
      </c>
    </row>
    <row r="48" spans="1:13" s="1" customFormat="1" ht="18" thickTop="1" thickBot="1" x14ac:dyDescent="0.45">
      <c r="A48" s="96" t="s">
        <v>30</v>
      </c>
      <c r="B48" s="66"/>
      <c r="C48" s="120">
        <f t="shared" ref="C48:H48" si="0">SUM(C45:C47)</f>
        <v>-1175000</v>
      </c>
      <c r="D48" s="120">
        <f t="shared" si="0"/>
        <v>230937.5</v>
      </c>
      <c r="E48" s="120">
        <f t="shared" si="0"/>
        <v>280828.125</v>
      </c>
      <c r="F48" s="120">
        <f t="shared" si="0"/>
        <v>273189.84375</v>
      </c>
      <c r="G48" s="120">
        <f t="shared" si="0"/>
        <v>271198.9453125</v>
      </c>
      <c r="H48" s="120">
        <f t="shared" si="0"/>
        <v>734468.203125</v>
      </c>
      <c r="I48"/>
      <c r="K48"/>
      <c r="L48"/>
      <c r="M48"/>
    </row>
    <row r="49" spans="1:13" s="1" customFormat="1" ht="18" thickTop="1" thickBot="1" x14ac:dyDescent="0.45">
      <c r="A49" s="95" t="s">
        <v>31</v>
      </c>
      <c r="B49" s="66"/>
      <c r="C49" s="121">
        <f>SUM($C$48:C48)</f>
        <v>-1175000</v>
      </c>
      <c r="D49" s="121">
        <f>SUM($C$48:D48)</f>
        <v>-944062.5</v>
      </c>
      <c r="E49" s="121">
        <f>SUM($C$48:E48)</f>
        <v>-663234.375</v>
      </c>
      <c r="F49" s="121">
        <f>SUM($C$48:F48)</f>
        <v>-390044.53125</v>
      </c>
      <c r="G49" s="121">
        <f>SUM($C$48:G48)</f>
        <v>-118845.5859375</v>
      </c>
      <c r="H49" s="121">
        <f>SUM($C$48:H48)</f>
        <v>615622.6171875</v>
      </c>
      <c r="I49"/>
      <c r="K49"/>
      <c r="L49"/>
      <c r="M49"/>
    </row>
    <row r="50" spans="1:13" s="1" customFormat="1" ht="18" thickTop="1" thickBot="1" x14ac:dyDescent="0.45">
      <c r="A50" s="96" t="s">
        <v>87</v>
      </c>
      <c r="B50" s="66"/>
      <c r="C50" s="122"/>
      <c r="D50" s="122" t="str">
        <f>IF(AND(C49&lt;0,D49&gt;0),C44+ABS(C49/D48),"")</f>
        <v/>
      </c>
      <c r="E50" s="122" t="str">
        <f>IF(AND(D49&lt;0,E49&gt;0),D44+ABS(D49/E48),"")</f>
        <v/>
      </c>
      <c r="F50" s="122" t="str">
        <f>IF(AND(E49&lt;0,F49&gt;0),E44+ABS(E49/F48),"")</f>
        <v/>
      </c>
      <c r="G50" s="122" t="str">
        <f>IF(AND(F49&lt;0,G49&gt;0),F44+ABS(F49/G48),"")</f>
        <v/>
      </c>
      <c r="H50" s="123">
        <f>IF(AND(G49&lt;0,H49&gt;0),G44+ABS(G49/H48),"")</f>
        <v>4.1618117509128894</v>
      </c>
      <c r="I50"/>
      <c r="J50"/>
      <c r="K50"/>
      <c r="L50"/>
      <c r="M50"/>
    </row>
    <row r="51" spans="1:13" ht="15" thickTop="1" x14ac:dyDescent="0.35"/>
    <row r="52" spans="1:13" ht="17" x14ac:dyDescent="0.4">
      <c r="A52" s="98" t="s">
        <v>32</v>
      </c>
      <c r="B52" s="70"/>
      <c r="C52" s="99">
        <f>NPV(rr, D48:H48)+C48</f>
        <v>-61992.236896013375</v>
      </c>
    </row>
    <row r="53" spans="1:13" ht="17" x14ac:dyDescent="0.4">
      <c r="A53" s="98" t="s">
        <v>52</v>
      </c>
      <c r="B53" s="70"/>
      <c r="C53" s="100">
        <f>IRR(C48:H48)</f>
        <v>0.13105476457530618</v>
      </c>
    </row>
    <row r="54" spans="1:13" ht="17" x14ac:dyDescent="0.4">
      <c r="A54" s="98" t="s">
        <v>66</v>
      </c>
      <c r="B54" s="70"/>
      <c r="C54" s="100">
        <f>MIRR(C48:H48,rr,rr)</f>
        <v>0.1376008443613328</v>
      </c>
    </row>
    <row r="55" spans="1:13" ht="17" x14ac:dyDescent="0.4">
      <c r="A55" s="98" t="s">
        <v>67</v>
      </c>
      <c r="B55" s="70"/>
      <c r="C55" s="101">
        <f>-NPV(rr,D48:H48)/C48</f>
        <v>0.94724064945020137</v>
      </c>
    </row>
    <row r="56" spans="1:13" ht="17" x14ac:dyDescent="0.4">
      <c r="A56" s="98" t="s">
        <v>68</v>
      </c>
      <c r="B56" s="70"/>
      <c r="C56" s="101" cm="1">
        <f t="array" ref="C56">IFERROR(
  (MATCH(TRUE, C49:H49&gt;=0, 0)-2) +
  ABS(INDEX(C49:H49, MATCH(TRUE, C49:H49&gt;=0, 0)-1)) /
      INDEX(C48:H48, MATCH(TRUE, C49:H49&gt;=0, 0)),
"No payback")</f>
        <v>4.1618117509128894</v>
      </c>
    </row>
    <row r="58" spans="1:13" x14ac:dyDescent="0.35">
      <c r="A58" s="73" t="s">
        <v>50</v>
      </c>
    </row>
    <row r="59" spans="1:13" ht="43.5" x14ac:dyDescent="0.35">
      <c r="A59" s="74" t="s">
        <v>65</v>
      </c>
      <c r="B59" s="1"/>
      <c r="F59" s="1"/>
      <c r="G59" s="1"/>
    </row>
    <row r="60" spans="1:13" x14ac:dyDescent="0.35">
      <c r="A60" s="75">
        <v>988007.76310398697</v>
      </c>
      <c r="B60" s="1"/>
      <c r="C60" s="33"/>
      <c r="E60" s="8"/>
      <c r="F60" s="7"/>
      <c r="G60" s="7"/>
    </row>
    <row r="61" spans="1:13" x14ac:dyDescent="0.35">
      <c r="B61" s="4"/>
      <c r="C61" s="5"/>
      <c r="E61" s="4"/>
      <c r="F61" s="5"/>
      <c r="G61" s="9"/>
    </row>
    <row r="62" spans="1:13" ht="20" thickBot="1" x14ac:dyDescent="0.5">
      <c r="A62" s="105" t="s">
        <v>89</v>
      </c>
      <c r="B62" s="88"/>
    </row>
    <row r="63" spans="1:13" ht="15" thickTop="1" x14ac:dyDescent="0.35">
      <c r="A63" s="89"/>
      <c r="B63" s="88"/>
    </row>
    <row r="64" spans="1:13" ht="17" x14ac:dyDescent="0.4">
      <c r="A64" s="90" t="s">
        <v>90</v>
      </c>
      <c r="B64" s="90" t="s">
        <v>91</v>
      </c>
    </row>
    <row r="65" spans="1:2" x14ac:dyDescent="0.35">
      <c r="A65" s="91" cm="1">
        <f t="array" ref="A65:B65">Net_Present_Value</f>
        <v>0</v>
      </c>
      <c r="B65" s="92">
        <v>-61992.236896013375</v>
      </c>
    </row>
    <row r="66" spans="1:2" x14ac:dyDescent="0.35">
      <c r="A66" s="93">
        <v>0</v>
      </c>
      <c r="B66" s="94">
        <f t="dataTable" ref="B66:B91" dt2D="0" dtr="0" r1="C18" ca="1"/>
        <v>615622.6171875</v>
      </c>
    </row>
    <row r="67" spans="1:2" x14ac:dyDescent="0.35">
      <c r="A67" s="93">
        <v>0.02</v>
      </c>
      <c r="B67" s="94">
        <v>494541.8172870283</v>
      </c>
    </row>
    <row r="68" spans="1:2" x14ac:dyDescent="0.35">
      <c r="A68" s="93">
        <v>0.04</v>
      </c>
      <c r="B68" s="94">
        <v>385062.77279727766</v>
      </c>
    </row>
    <row r="69" spans="1:2" x14ac:dyDescent="0.35">
      <c r="A69" s="93">
        <v>0.06</v>
      </c>
      <c r="B69" s="94">
        <v>285829.39183896035</v>
      </c>
    </row>
    <row r="70" spans="1:2" x14ac:dyDescent="0.35">
      <c r="A70" s="93">
        <v>0.08</v>
      </c>
      <c r="B70" s="94">
        <v>195668.8164556413</v>
      </c>
    </row>
    <row r="71" spans="1:2" x14ac:dyDescent="0.35">
      <c r="A71" s="93">
        <v>0.1</v>
      </c>
      <c r="B71" s="94">
        <v>113563.61154618673</v>
      </c>
    </row>
    <row r="72" spans="1:2" x14ac:dyDescent="0.35">
      <c r="A72" s="93">
        <v>0.12</v>
      </c>
      <c r="B72" s="94">
        <v>38628.608722110977</v>
      </c>
    </row>
    <row r="73" spans="1:2" x14ac:dyDescent="0.35">
      <c r="A73" s="93">
        <v>0.14000000000000001</v>
      </c>
      <c r="B73" s="92">
        <v>-29908.442863495089</v>
      </c>
    </row>
    <row r="74" spans="1:2" x14ac:dyDescent="0.35">
      <c r="A74" s="93">
        <v>0.16</v>
      </c>
      <c r="B74" s="92">
        <v>-92723.100233623525</v>
      </c>
    </row>
    <row r="75" spans="1:2" x14ac:dyDescent="0.35">
      <c r="A75" s="93">
        <v>0.18</v>
      </c>
      <c r="B75" s="92">
        <v>-150407.87485518365</v>
      </c>
    </row>
    <row r="76" spans="1:2" x14ac:dyDescent="0.35">
      <c r="A76" s="93">
        <v>0.2</v>
      </c>
      <c r="B76" s="92">
        <v>-203483.75108506938</v>
      </c>
    </row>
    <row r="77" spans="1:2" x14ac:dyDescent="0.35">
      <c r="A77" s="93">
        <v>0.22</v>
      </c>
      <c r="B77" s="92">
        <v>-252409.93723626377</v>
      </c>
    </row>
    <row r="78" spans="1:2" x14ac:dyDescent="0.35">
      <c r="A78" s="93">
        <v>0.24</v>
      </c>
      <c r="B78" s="92">
        <v>-297592.14513716812</v>
      </c>
    </row>
    <row r="79" spans="1:2" x14ac:dyDescent="0.35">
      <c r="A79" s="93">
        <v>0.26</v>
      </c>
      <c r="B79" s="92">
        <v>-339389.6405773618</v>
      </c>
    </row>
    <row r="80" spans="1:2" x14ac:dyDescent="0.35">
      <c r="A80" s="93">
        <v>0.28000000000000003</v>
      </c>
      <c r="B80" s="92">
        <v>-378121.26390490448</v>
      </c>
    </row>
    <row r="81" spans="1:14" x14ac:dyDescent="0.35">
      <c r="A81" s="93">
        <v>0.3</v>
      </c>
      <c r="B81" s="92">
        <v>-414070.58513256384</v>
      </c>
    </row>
    <row r="82" spans="1:14" x14ac:dyDescent="0.35">
      <c r="A82" s="93">
        <v>0.32</v>
      </c>
      <c r="B82" s="92">
        <v>-447490.329555762</v>
      </c>
    </row>
    <row r="83" spans="1:14" x14ac:dyDescent="0.35">
      <c r="A83" s="93">
        <v>0.34</v>
      </c>
      <c r="B83" s="92">
        <v>-478606.18677413953</v>
      </c>
    </row>
    <row r="84" spans="1:14" x14ac:dyDescent="0.35">
      <c r="A84" s="93">
        <v>0.36</v>
      </c>
      <c r="B84" s="92">
        <v>-507620.09710895177</v>
      </c>
    </row>
    <row r="85" spans="1:14" x14ac:dyDescent="0.35">
      <c r="A85" s="93">
        <v>0.38</v>
      </c>
      <c r="B85" s="92">
        <v>-534713.09390280349</v>
      </c>
    </row>
    <row r="86" spans="1:14" x14ac:dyDescent="0.35">
      <c r="A86" s="93">
        <v>0.4</v>
      </c>
      <c r="B86" s="92">
        <v>-560047.76742716937</v>
      </c>
    </row>
    <row r="87" spans="1:14" x14ac:dyDescent="0.35">
      <c r="A87" s="93">
        <v>0.42</v>
      </c>
      <c r="B87" s="92">
        <v>-583770.40558907541</v>
      </c>
    </row>
    <row r="88" spans="1:14" x14ac:dyDescent="0.35">
      <c r="A88" s="93">
        <v>0.44</v>
      </c>
      <c r="B88" s="92">
        <v>-606012.85790692118</v>
      </c>
    </row>
    <row r="89" spans="1:14" x14ac:dyDescent="0.35">
      <c r="A89" s="93">
        <v>0.46</v>
      </c>
      <c r="B89" s="92">
        <v>-626894.16198418429</v>
      </c>
    </row>
    <row r="90" spans="1:14" x14ac:dyDescent="0.35">
      <c r="A90" s="93">
        <v>0.48</v>
      </c>
      <c r="B90" s="92">
        <v>-646521.96568072576</v>
      </c>
    </row>
    <row r="91" spans="1:14" x14ac:dyDescent="0.35">
      <c r="A91" s="93">
        <v>0.5</v>
      </c>
      <c r="B91" s="92">
        <v>-664993.77314814809</v>
      </c>
    </row>
    <row r="93" spans="1:14" ht="22.5" x14ac:dyDescent="0.45">
      <c r="A93" s="76" t="s">
        <v>92</v>
      </c>
      <c r="B93" s="77"/>
      <c r="C93" s="77"/>
      <c r="D93" s="77"/>
      <c r="E93" s="77"/>
      <c r="F93" s="77"/>
      <c r="G93" s="77"/>
      <c r="H93" s="77"/>
      <c r="I93" s="77"/>
      <c r="J93" s="77"/>
      <c r="K93" s="77"/>
      <c r="L93" s="77"/>
      <c r="M93" s="77"/>
      <c r="N93" s="77"/>
    </row>
    <row r="94" spans="1:14" x14ac:dyDescent="0.35">
      <c r="A94" s="77"/>
      <c r="B94" s="77"/>
      <c r="C94" s="77"/>
      <c r="D94" s="77"/>
      <c r="E94" s="77"/>
      <c r="F94" s="77"/>
      <c r="G94" s="77"/>
      <c r="H94" s="77"/>
      <c r="I94" s="77"/>
      <c r="J94" s="77"/>
      <c r="K94" s="77"/>
      <c r="L94" s="77"/>
      <c r="M94" s="77"/>
      <c r="N94" s="77"/>
    </row>
    <row r="95" spans="1:14" ht="17.5" thickBot="1" x14ac:dyDescent="0.45">
      <c r="A95" s="85" t="s">
        <v>97</v>
      </c>
      <c r="B95" s="87">
        <v>0.05</v>
      </c>
      <c r="C95" s="77"/>
      <c r="D95" s="77"/>
      <c r="E95" s="77"/>
      <c r="F95" s="77"/>
      <c r="G95" s="77"/>
      <c r="H95" s="77"/>
      <c r="I95" s="77"/>
      <c r="J95" s="77"/>
      <c r="K95" s="77"/>
      <c r="L95" s="77"/>
      <c r="M95" s="77"/>
      <c r="N95" s="77"/>
    </row>
    <row r="96" spans="1:14" ht="15" thickTop="1" x14ac:dyDescent="0.35">
      <c r="A96" s="77"/>
      <c r="B96" s="77"/>
      <c r="C96" s="77"/>
      <c r="D96" s="77"/>
      <c r="E96" s="77"/>
      <c r="F96" s="77"/>
      <c r="G96" s="77"/>
      <c r="H96" s="77"/>
      <c r="I96" s="77"/>
      <c r="J96" s="77"/>
      <c r="K96" s="77"/>
      <c r="L96" s="77"/>
      <c r="M96" s="77"/>
      <c r="N96" s="77"/>
    </row>
    <row r="97" spans="1:14" x14ac:dyDescent="0.35">
      <c r="A97" s="77"/>
      <c r="B97" s="77"/>
      <c r="C97" s="77"/>
      <c r="D97" s="77"/>
      <c r="E97" s="77"/>
      <c r="F97" s="77"/>
      <c r="G97" s="77"/>
      <c r="H97" s="77"/>
      <c r="I97" s="77"/>
      <c r="J97" s="77"/>
      <c r="K97" s="77"/>
      <c r="L97" s="77"/>
      <c r="M97" s="77"/>
      <c r="N97" s="77"/>
    </row>
    <row r="98" spans="1:14" x14ac:dyDescent="0.35">
      <c r="A98" s="77"/>
      <c r="B98" s="77"/>
      <c r="C98" s="77"/>
      <c r="D98" s="77"/>
      <c r="E98" s="77"/>
      <c r="F98" s="77"/>
      <c r="G98" s="77"/>
      <c r="H98" s="77"/>
      <c r="I98" s="77"/>
      <c r="J98" s="77"/>
      <c r="K98" s="77"/>
      <c r="L98" s="77"/>
      <c r="M98" s="77"/>
      <c r="N98" s="77"/>
    </row>
    <row r="99" spans="1:14" ht="20" thickBot="1" x14ac:dyDescent="0.5">
      <c r="A99" s="84" t="s">
        <v>93</v>
      </c>
      <c r="B99" s="84" t="s">
        <v>15</v>
      </c>
      <c r="C99" s="84" t="s">
        <v>0</v>
      </c>
      <c r="D99" s="84" t="s">
        <v>6</v>
      </c>
      <c r="E99" s="84" t="s">
        <v>38</v>
      </c>
      <c r="F99" s="84" t="s">
        <v>40</v>
      </c>
      <c r="G99" s="84" t="s">
        <v>22</v>
      </c>
      <c r="H99" s="84" t="s">
        <v>7</v>
      </c>
      <c r="I99" s="84" t="s">
        <v>5</v>
      </c>
      <c r="J99" s="84" t="s">
        <v>8</v>
      </c>
      <c r="K99" s="84" t="s">
        <v>59</v>
      </c>
      <c r="L99" s="84" t="s">
        <v>4</v>
      </c>
      <c r="M99" s="84" t="s">
        <v>54</v>
      </c>
      <c r="N99" s="84" t="s">
        <v>12</v>
      </c>
    </row>
    <row r="100" spans="1:14" ht="15.5" thickTop="1" thickBot="1" x14ac:dyDescent="0.4">
      <c r="A100" s="86" t="s">
        <v>34</v>
      </c>
      <c r="B100" s="79">
        <v>5</v>
      </c>
      <c r="C100" s="80">
        <v>1050000</v>
      </c>
      <c r="D100" s="80">
        <v>300000</v>
      </c>
      <c r="E100" s="80">
        <v>15000</v>
      </c>
      <c r="F100" s="81">
        <v>0.05</v>
      </c>
      <c r="G100" s="82">
        <v>90</v>
      </c>
      <c r="H100" s="82">
        <v>65</v>
      </c>
      <c r="I100" s="80">
        <v>75000</v>
      </c>
      <c r="J100" s="80">
        <v>125000</v>
      </c>
      <c r="K100" s="83">
        <v>0.1</v>
      </c>
      <c r="L100" s="81">
        <v>0.35</v>
      </c>
      <c r="M100" s="78">
        <v>0.25</v>
      </c>
      <c r="N100" s="81">
        <v>0.15</v>
      </c>
    </row>
    <row r="101" spans="1:14" ht="15" thickBot="1" x14ac:dyDescent="0.4">
      <c r="A101" s="86" t="s">
        <v>35</v>
      </c>
      <c r="B101" s="77">
        <v>5</v>
      </c>
      <c r="C101" s="80">
        <v>1020000</v>
      </c>
      <c r="D101" s="80">
        <v>337500</v>
      </c>
      <c r="E101" s="80">
        <v>18000</v>
      </c>
      <c r="F101" s="83">
        <v>0.08</v>
      </c>
      <c r="G101" s="80">
        <v>96</v>
      </c>
      <c r="H101" s="80">
        <v>64</v>
      </c>
      <c r="I101" s="80">
        <v>65625</v>
      </c>
      <c r="J101" s="80">
        <v>100000</v>
      </c>
      <c r="K101" s="83">
        <v>0.08</v>
      </c>
      <c r="L101" s="81">
        <v>0.35</v>
      </c>
      <c r="M101" s="78">
        <v>0.25</v>
      </c>
      <c r="N101" s="81">
        <v>0.15</v>
      </c>
    </row>
    <row r="102" spans="1:14" ht="15" thickBot="1" x14ac:dyDescent="0.4">
      <c r="A102" s="86" t="s">
        <v>36</v>
      </c>
      <c r="B102" s="77">
        <v>5</v>
      </c>
      <c r="C102" s="80">
        <v>1070000</v>
      </c>
      <c r="D102" s="80">
        <v>225000</v>
      </c>
      <c r="E102" s="80">
        <v>12000</v>
      </c>
      <c r="F102" s="83">
        <v>0.04</v>
      </c>
      <c r="G102" s="80">
        <v>85</v>
      </c>
      <c r="H102" s="80">
        <v>67</v>
      </c>
      <c r="I102" s="80">
        <v>84375</v>
      </c>
      <c r="J102" s="80">
        <v>137500</v>
      </c>
      <c r="K102" s="83">
        <v>0.12</v>
      </c>
      <c r="L102" s="81">
        <v>0.35</v>
      </c>
      <c r="M102" s="78">
        <v>0.25</v>
      </c>
      <c r="N102" s="81">
        <v>0.15</v>
      </c>
    </row>
    <row r="103" spans="1:14" ht="15" thickBot="1" x14ac:dyDescent="0.4">
      <c r="A103" s="86" t="s">
        <v>94</v>
      </c>
      <c r="B103" s="79">
        <v>5</v>
      </c>
      <c r="C103" s="80">
        <f>C100*(1+B95)</f>
        <v>1102500</v>
      </c>
      <c r="D103" s="80">
        <v>300000</v>
      </c>
      <c r="E103" s="80">
        <v>15000</v>
      </c>
      <c r="F103" s="81">
        <v>0.05</v>
      </c>
      <c r="G103" s="82">
        <v>90</v>
      </c>
      <c r="H103" s="82">
        <v>65</v>
      </c>
      <c r="I103" s="80">
        <v>75000</v>
      </c>
      <c r="J103" s="80">
        <v>125000</v>
      </c>
      <c r="K103" s="83">
        <v>0.1</v>
      </c>
      <c r="L103" s="81">
        <v>0.35</v>
      </c>
      <c r="M103" s="78">
        <v>0.25</v>
      </c>
      <c r="N103" s="81">
        <v>0.15</v>
      </c>
    </row>
    <row r="104" spans="1:14" ht="15" thickBot="1" x14ac:dyDescent="0.4">
      <c r="A104" s="86" t="s">
        <v>95</v>
      </c>
      <c r="B104" s="79">
        <v>5</v>
      </c>
      <c r="C104" s="80">
        <f>C100*(1-B95)</f>
        <v>997500</v>
      </c>
      <c r="D104" s="80">
        <v>300000</v>
      </c>
      <c r="E104" s="80">
        <v>15000</v>
      </c>
      <c r="F104" s="81">
        <v>0.05</v>
      </c>
      <c r="G104" s="82">
        <v>90</v>
      </c>
      <c r="H104" s="82">
        <v>65</v>
      </c>
      <c r="I104" s="80">
        <v>75000</v>
      </c>
      <c r="J104" s="80">
        <v>125000</v>
      </c>
      <c r="K104" s="83">
        <v>0.1</v>
      </c>
      <c r="L104" s="81">
        <v>0.35</v>
      </c>
      <c r="M104" s="78">
        <v>0.25</v>
      </c>
      <c r="N104" s="81">
        <v>0.15</v>
      </c>
    </row>
    <row r="105" spans="1:14" ht="15" thickBot="1" x14ac:dyDescent="0.4">
      <c r="A105" s="86" t="s">
        <v>96</v>
      </c>
      <c r="B105" s="79">
        <v>5</v>
      </c>
      <c r="C105" s="80">
        <v>1050000</v>
      </c>
      <c r="D105" s="80">
        <f>D100*(1+B95)</f>
        <v>315000</v>
      </c>
      <c r="E105" s="80">
        <v>15000</v>
      </c>
      <c r="F105" s="81">
        <v>0.05</v>
      </c>
      <c r="G105" s="82">
        <v>90</v>
      </c>
      <c r="H105" s="82">
        <v>65</v>
      </c>
      <c r="I105" s="80">
        <v>75000</v>
      </c>
      <c r="J105" s="80">
        <v>125000</v>
      </c>
      <c r="K105" s="83">
        <v>0.1</v>
      </c>
      <c r="L105" s="81">
        <v>0.35</v>
      </c>
      <c r="M105" s="78">
        <v>0.25</v>
      </c>
      <c r="N105" s="81">
        <v>0.15</v>
      </c>
    </row>
    <row r="106" spans="1:14" ht="15" thickBot="1" x14ac:dyDescent="0.4">
      <c r="A106" s="86" t="s">
        <v>99</v>
      </c>
      <c r="B106" s="79">
        <v>5</v>
      </c>
      <c r="C106" s="80">
        <v>1050000</v>
      </c>
      <c r="D106" s="80">
        <f>D100*(1-B95)</f>
        <v>285000</v>
      </c>
      <c r="E106" s="80">
        <v>15000</v>
      </c>
      <c r="F106" s="81">
        <v>0.05</v>
      </c>
      <c r="G106" s="82">
        <v>90</v>
      </c>
      <c r="H106" s="82">
        <v>65</v>
      </c>
      <c r="I106" s="80">
        <v>75000</v>
      </c>
      <c r="J106" s="80">
        <v>125000</v>
      </c>
      <c r="K106" s="83">
        <v>0.1</v>
      </c>
      <c r="L106" s="81">
        <v>0.35</v>
      </c>
      <c r="M106" s="78">
        <v>0.25</v>
      </c>
      <c r="N106" s="81">
        <v>0.15</v>
      </c>
    </row>
    <row r="107" spans="1:14" ht="15" thickBot="1" x14ac:dyDescent="0.4">
      <c r="A107" s="86" t="s">
        <v>98</v>
      </c>
      <c r="B107" s="79">
        <v>5</v>
      </c>
      <c r="C107" s="80">
        <v>1050000</v>
      </c>
      <c r="D107" s="80">
        <v>300000</v>
      </c>
      <c r="E107" s="80">
        <f>E100*(1+B95)</f>
        <v>15750</v>
      </c>
      <c r="F107" s="81">
        <v>0.05</v>
      </c>
      <c r="G107" s="82">
        <v>90</v>
      </c>
      <c r="H107" s="82">
        <v>65</v>
      </c>
      <c r="I107" s="80">
        <v>75000</v>
      </c>
      <c r="J107" s="80">
        <v>125000</v>
      </c>
      <c r="K107" s="83">
        <v>0.1</v>
      </c>
      <c r="L107" s="81">
        <v>0.35</v>
      </c>
      <c r="M107" s="78">
        <v>0.25</v>
      </c>
      <c r="N107" s="81">
        <v>0.15</v>
      </c>
    </row>
    <row r="108" spans="1:14" ht="15" thickBot="1" x14ac:dyDescent="0.4">
      <c r="A108" s="86" t="s">
        <v>100</v>
      </c>
      <c r="B108" s="79">
        <v>5</v>
      </c>
      <c r="C108" s="80">
        <v>1050000</v>
      </c>
      <c r="D108" s="80">
        <v>300000</v>
      </c>
      <c r="E108" s="80">
        <f>E100*(1-B95)</f>
        <v>14250</v>
      </c>
      <c r="F108" s="81">
        <v>0.05</v>
      </c>
      <c r="G108" s="82">
        <v>90</v>
      </c>
      <c r="H108" s="82">
        <v>65</v>
      </c>
      <c r="I108" s="80">
        <v>75000</v>
      </c>
      <c r="J108" s="80">
        <v>125000</v>
      </c>
      <c r="K108" s="83">
        <v>0.1</v>
      </c>
      <c r="L108" s="81">
        <v>0.35</v>
      </c>
      <c r="M108" s="78">
        <v>0.25</v>
      </c>
      <c r="N108" s="81">
        <v>0.15</v>
      </c>
    </row>
    <row r="109" spans="1:14" ht="15" thickBot="1" x14ac:dyDescent="0.4">
      <c r="A109" s="86" t="s">
        <v>101</v>
      </c>
      <c r="B109" s="79">
        <v>5</v>
      </c>
      <c r="C109" s="80">
        <v>1050000</v>
      </c>
      <c r="D109" s="80">
        <v>300000</v>
      </c>
      <c r="E109" s="80">
        <v>15000</v>
      </c>
      <c r="F109" s="81">
        <f>F100*(1+B95)</f>
        <v>5.2500000000000005E-2</v>
      </c>
      <c r="G109" s="82">
        <v>90</v>
      </c>
      <c r="H109" s="82">
        <v>65</v>
      </c>
      <c r="I109" s="80">
        <v>75000</v>
      </c>
      <c r="J109" s="80">
        <v>125000</v>
      </c>
      <c r="K109" s="83">
        <v>0.1</v>
      </c>
      <c r="L109" s="81">
        <v>0.35</v>
      </c>
      <c r="M109" s="78">
        <v>0.25</v>
      </c>
      <c r="N109" s="81">
        <v>0.15</v>
      </c>
    </row>
    <row r="110" spans="1:14" ht="15" thickBot="1" x14ac:dyDescent="0.4">
      <c r="A110" s="86" t="s">
        <v>102</v>
      </c>
      <c r="B110" s="79">
        <v>5</v>
      </c>
      <c r="C110" s="80">
        <v>1050000</v>
      </c>
      <c r="D110" s="80">
        <v>300000</v>
      </c>
      <c r="E110" s="80">
        <v>15000</v>
      </c>
      <c r="F110" s="81">
        <f>F100*(1-B95)</f>
        <v>4.7500000000000001E-2</v>
      </c>
      <c r="G110" s="82">
        <v>90</v>
      </c>
      <c r="H110" s="82">
        <v>65</v>
      </c>
      <c r="I110" s="80">
        <v>75000</v>
      </c>
      <c r="J110" s="80">
        <v>125000</v>
      </c>
      <c r="K110" s="83">
        <v>0.1</v>
      </c>
      <c r="L110" s="81">
        <v>0.35</v>
      </c>
      <c r="M110" s="78">
        <v>0.25</v>
      </c>
      <c r="N110" s="81">
        <v>0.15</v>
      </c>
    </row>
    <row r="111" spans="1:14" ht="15" thickBot="1" x14ac:dyDescent="0.4">
      <c r="A111" s="86" t="s">
        <v>103</v>
      </c>
      <c r="B111" s="79">
        <v>5</v>
      </c>
      <c r="C111" s="80">
        <v>1050000</v>
      </c>
      <c r="D111" s="80">
        <v>300000</v>
      </c>
      <c r="E111" s="80">
        <v>15000</v>
      </c>
      <c r="F111" s="81">
        <v>0.05</v>
      </c>
      <c r="G111" s="82">
        <f>G100*(1+B95)</f>
        <v>94.5</v>
      </c>
      <c r="H111" s="82">
        <v>65</v>
      </c>
      <c r="I111" s="80">
        <v>75000</v>
      </c>
      <c r="J111" s="80">
        <v>125000</v>
      </c>
      <c r="K111" s="83">
        <v>0.1</v>
      </c>
      <c r="L111" s="81">
        <v>0.35</v>
      </c>
      <c r="M111" s="78">
        <v>0.25</v>
      </c>
      <c r="N111" s="81">
        <v>0.15</v>
      </c>
    </row>
    <row r="112" spans="1:14" ht="15" thickBot="1" x14ac:dyDescent="0.4">
      <c r="A112" s="86" t="s">
        <v>104</v>
      </c>
      <c r="B112" s="79">
        <v>5</v>
      </c>
      <c r="C112" s="80">
        <v>1050000</v>
      </c>
      <c r="D112" s="80">
        <v>300000</v>
      </c>
      <c r="E112" s="80">
        <v>15000</v>
      </c>
      <c r="F112" s="81">
        <v>0.05</v>
      </c>
      <c r="G112" s="82">
        <f>G100*(1-B95)</f>
        <v>85.5</v>
      </c>
      <c r="H112" s="82">
        <v>65</v>
      </c>
      <c r="I112" s="80">
        <v>75000</v>
      </c>
      <c r="J112" s="80">
        <v>125000</v>
      </c>
      <c r="K112" s="83">
        <v>0.1</v>
      </c>
      <c r="L112" s="81">
        <v>0.35</v>
      </c>
      <c r="M112" s="78">
        <v>0.25</v>
      </c>
      <c r="N112" s="81">
        <v>0.15</v>
      </c>
    </row>
    <row r="113" spans="1:14" ht="15" thickBot="1" x14ac:dyDescent="0.4">
      <c r="A113" s="86" t="s">
        <v>105</v>
      </c>
      <c r="B113" s="79">
        <v>5</v>
      </c>
      <c r="C113" s="80">
        <v>1050000</v>
      </c>
      <c r="D113" s="80">
        <v>300000</v>
      </c>
      <c r="E113" s="80">
        <v>15000</v>
      </c>
      <c r="F113" s="81">
        <v>0.05</v>
      </c>
      <c r="G113" s="82">
        <v>90</v>
      </c>
      <c r="H113" s="82">
        <f>H100*(1+B95)</f>
        <v>68.25</v>
      </c>
      <c r="I113" s="80">
        <v>75000</v>
      </c>
      <c r="J113" s="80">
        <v>125000</v>
      </c>
      <c r="K113" s="83">
        <v>0.1</v>
      </c>
      <c r="L113" s="81">
        <v>0.35</v>
      </c>
      <c r="M113" s="78">
        <v>0.25</v>
      </c>
      <c r="N113" s="81">
        <v>0.15</v>
      </c>
    </row>
    <row r="114" spans="1:14" ht="15" thickBot="1" x14ac:dyDescent="0.4">
      <c r="A114" s="86" t="s">
        <v>106</v>
      </c>
      <c r="B114" s="79">
        <v>5</v>
      </c>
      <c r="C114" s="80">
        <v>1050000</v>
      </c>
      <c r="D114" s="80">
        <v>300000</v>
      </c>
      <c r="E114" s="80">
        <v>15000</v>
      </c>
      <c r="F114" s="81">
        <v>0.05</v>
      </c>
      <c r="G114" s="82">
        <v>90</v>
      </c>
      <c r="H114" s="82">
        <f>H100*(1-B95)</f>
        <v>61.75</v>
      </c>
      <c r="I114" s="80">
        <v>75000</v>
      </c>
      <c r="J114" s="80">
        <v>125000</v>
      </c>
      <c r="K114" s="83">
        <v>0.1</v>
      </c>
      <c r="L114" s="81">
        <v>0.35</v>
      </c>
      <c r="M114" s="78">
        <v>0.25</v>
      </c>
      <c r="N114" s="81">
        <v>0.15</v>
      </c>
    </row>
    <row r="115" spans="1:14" ht="15" thickBot="1" x14ac:dyDescent="0.4">
      <c r="A115" s="86" t="s">
        <v>107</v>
      </c>
      <c r="B115" s="79">
        <v>5</v>
      </c>
      <c r="C115" s="80">
        <v>1050000</v>
      </c>
      <c r="D115" s="80">
        <v>300000</v>
      </c>
      <c r="E115" s="80">
        <v>15000</v>
      </c>
      <c r="F115" s="81">
        <v>0.05</v>
      </c>
      <c r="G115" s="82">
        <v>90</v>
      </c>
      <c r="H115" s="82">
        <v>65</v>
      </c>
      <c r="I115" s="80">
        <f>I100*(1+B95)</f>
        <v>78750</v>
      </c>
      <c r="J115" s="80">
        <v>125000</v>
      </c>
      <c r="K115" s="83">
        <v>0.1</v>
      </c>
      <c r="L115" s="81">
        <v>0.35</v>
      </c>
      <c r="M115" s="78">
        <v>0.25</v>
      </c>
      <c r="N115" s="81">
        <v>0.15</v>
      </c>
    </row>
    <row r="116" spans="1:14" ht="15" thickBot="1" x14ac:dyDescent="0.4">
      <c r="A116" s="86" t="s">
        <v>108</v>
      </c>
      <c r="B116" s="79">
        <v>5</v>
      </c>
      <c r="C116" s="80">
        <v>1050000</v>
      </c>
      <c r="D116" s="80">
        <v>300000</v>
      </c>
      <c r="E116" s="80">
        <v>15000</v>
      </c>
      <c r="F116" s="81">
        <v>0.05</v>
      </c>
      <c r="G116" s="82">
        <v>90</v>
      </c>
      <c r="H116" s="82">
        <v>65</v>
      </c>
      <c r="I116" s="80">
        <f>I100*(1-B95)</f>
        <v>71250</v>
      </c>
      <c r="J116" s="80">
        <v>125000</v>
      </c>
      <c r="K116" s="83">
        <v>0.1</v>
      </c>
      <c r="L116" s="81">
        <v>0.35</v>
      </c>
      <c r="M116" s="78">
        <v>0.25</v>
      </c>
      <c r="N116" s="81">
        <v>0.15</v>
      </c>
    </row>
    <row r="117" spans="1:14" ht="15" thickBot="1" x14ac:dyDescent="0.4">
      <c r="A117" s="86" t="s">
        <v>109</v>
      </c>
      <c r="B117" s="79">
        <v>5</v>
      </c>
      <c r="C117" s="80">
        <v>1050000</v>
      </c>
      <c r="D117" s="80">
        <v>300000</v>
      </c>
      <c r="E117" s="80">
        <v>15000</v>
      </c>
      <c r="F117" s="81">
        <v>0.05</v>
      </c>
      <c r="G117" s="82">
        <v>90</v>
      </c>
      <c r="H117" s="82">
        <v>65</v>
      </c>
      <c r="I117" s="80">
        <v>75000</v>
      </c>
      <c r="J117" s="80">
        <f>J100*(1+B95)</f>
        <v>131250</v>
      </c>
      <c r="K117" s="83">
        <v>0.1</v>
      </c>
      <c r="L117" s="81">
        <v>0.35</v>
      </c>
      <c r="M117" s="78">
        <v>0.25</v>
      </c>
      <c r="N117" s="81">
        <v>0.15</v>
      </c>
    </row>
    <row r="118" spans="1:14" ht="15" thickBot="1" x14ac:dyDescent="0.4">
      <c r="A118" s="86" t="s">
        <v>110</v>
      </c>
      <c r="B118" s="79">
        <v>5</v>
      </c>
      <c r="C118" s="80">
        <v>1050000</v>
      </c>
      <c r="D118" s="80">
        <v>300000</v>
      </c>
      <c r="E118" s="80">
        <v>15000</v>
      </c>
      <c r="F118" s="81">
        <v>0.05</v>
      </c>
      <c r="G118" s="82">
        <v>90</v>
      </c>
      <c r="H118" s="82">
        <v>65</v>
      </c>
      <c r="I118" s="80">
        <v>75000</v>
      </c>
      <c r="J118" s="80">
        <f>J100*(1-B95)</f>
        <v>118750</v>
      </c>
      <c r="K118" s="83">
        <v>0.1</v>
      </c>
      <c r="L118" s="81">
        <v>0.35</v>
      </c>
      <c r="M118" s="78">
        <v>0.25</v>
      </c>
      <c r="N118" s="81">
        <v>0.15</v>
      </c>
    </row>
    <row r="119" spans="1:14" ht="15" thickBot="1" x14ac:dyDescent="0.4">
      <c r="A119" s="86" t="s">
        <v>111</v>
      </c>
      <c r="B119" s="79">
        <v>5</v>
      </c>
      <c r="C119" s="80">
        <v>1050000</v>
      </c>
      <c r="D119" s="80">
        <v>300000</v>
      </c>
      <c r="E119" s="80">
        <v>15000</v>
      </c>
      <c r="F119" s="81">
        <v>0.05</v>
      </c>
      <c r="G119" s="82">
        <v>90</v>
      </c>
      <c r="H119" s="82">
        <v>65</v>
      </c>
      <c r="I119" s="80">
        <v>75000</v>
      </c>
      <c r="J119" s="80">
        <v>125000</v>
      </c>
      <c r="K119" s="83">
        <f>K100*(1+B95)</f>
        <v>0.10500000000000001</v>
      </c>
      <c r="L119" s="81">
        <v>0.35</v>
      </c>
      <c r="M119" s="78">
        <v>0.25</v>
      </c>
      <c r="N119" s="81">
        <v>0.15</v>
      </c>
    </row>
    <row r="120" spans="1:14" ht="15" thickBot="1" x14ac:dyDescent="0.4">
      <c r="A120" s="86" t="s">
        <v>112</v>
      </c>
      <c r="B120" s="79">
        <v>5</v>
      </c>
      <c r="C120" s="80">
        <v>1050000</v>
      </c>
      <c r="D120" s="80">
        <v>300000</v>
      </c>
      <c r="E120" s="80">
        <v>15000</v>
      </c>
      <c r="F120" s="81">
        <v>0.05</v>
      </c>
      <c r="G120" s="82">
        <v>90</v>
      </c>
      <c r="H120" s="82">
        <v>65</v>
      </c>
      <c r="I120" s="80">
        <v>75000</v>
      </c>
      <c r="J120" s="80">
        <v>125000</v>
      </c>
      <c r="K120" s="83">
        <f>K100*(1-B95)</f>
        <v>9.5000000000000001E-2</v>
      </c>
      <c r="L120" s="81">
        <v>0.35</v>
      </c>
      <c r="M120" s="78">
        <v>0.25</v>
      </c>
      <c r="N120" s="81">
        <v>0.15</v>
      </c>
    </row>
    <row r="121" spans="1:14" ht="15" thickBot="1" x14ac:dyDescent="0.4">
      <c r="A121" s="86" t="s">
        <v>113</v>
      </c>
      <c r="B121" s="79">
        <v>5</v>
      </c>
      <c r="C121" s="80">
        <v>1050000</v>
      </c>
      <c r="D121" s="80">
        <v>300000</v>
      </c>
      <c r="E121" s="80">
        <v>15000</v>
      </c>
      <c r="F121" s="81">
        <v>0.05</v>
      </c>
      <c r="G121" s="82">
        <v>90</v>
      </c>
      <c r="H121" s="82">
        <v>65</v>
      </c>
      <c r="I121" s="80">
        <v>75000</v>
      </c>
      <c r="J121" s="80">
        <v>125000</v>
      </c>
      <c r="K121" s="83">
        <v>0.1</v>
      </c>
      <c r="L121" s="81">
        <f>L100*(1+B95)</f>
        <v>0.36749999999999999</v>
      </c>
      <c r="M121" s="78">
        <v>0.25</v>
      </c>
      <c r="N121" s="81">
        <v>0.15</v>
      </c>
    </row>
    <row r="122" spans="1:14" ht="15" thickBot="1" x14ac:dyDescent="0.4">
      <c r="A122" s="86" t="s">
        <v>114</v>
      </c>
      <c r="B122" s="79">
        <v>5</v>
      </c>
      <c r="C122" s="80">
        <v>1050000</v>
      </c>
      <c r="D122" s="80">
        <v>300000</v>
      </c>
      <c r="E122" s="80">
        <v>15000</v>
      </c>
      <c r="F122" s="81">
        <v>0.05</v>
      </c>
      <c r="G122" s="82">
        <v>90</v>
      </c>
      <c r="H122" s="82">
        <v>65</v>
      </c>
      <c r="I122" s="80">
        <v>75000</v>
      </c>
      <c r="J122" s="80">
        <v>125000</v>
      </c>
      <c r="K122" s="83">
        <v>0.1</v>
      </c>
      <c r="L122" s="81">
        <f>L100*(1+B95)</f>
        <v>0.36749999999999999</v>
      </c>
      <c r="M122" s="78">
        <v>0.25</v>
      </c>
      <c r="N122" s="81">
        <v>0.15</v>
      </c>
    </row>
    <row r="123" spans="1:14" ht="15" thickBot="1" x14ac:dyDescent="0.4">
      <c r="A123" s="86" t="s">
        <v>115</v>
      </c>
      <c r="B123" s="79">
        <v>5</v>
      </c>
      <c r="C123" s="80">
        <v>1050000</v>
      </c>
      <c r="D123" s="80">
        <v>300000</v>
      </c>
      <c r="E123" s="80">
        <v>15000</v>
      </c>
      <c r="F123" s="81">
        <v>0.05</v>
      </c>
      <c r="G123" s="82">
        <v>90</v>
      </c>
      <c r="H123" s="82">
        <v>65</v>
      </c>
      <c r="I123" s="80">
        <v>75000</v>
      </c>
      <c r="J123" s="80">
        <v>125000</v>
      </c>
      <c r="K123" s="83">
        <v>0.1</v>
      </c>
      <c r="L123" s="81">
        <v>0.35</v>
      </c>
      <c r="M123" s="78">
        <f>M100*(1+B95)</f>
        <v>0.26250000000000001</v>
      </c>
      <c r="N123" s="81">
        <v>0.15</v>
      </c>
    </row>
    <row r="124" spans="1:14" ht="15" thickBot="1" x14ac:dyDescent="0.4">
      <c r="A124" s="86" t="s">
        <v>116</v>
      </c>
      <c r="B124" s="79">
        <v>5</v>
      </c>
      <c r="C124" s="80">
        <v>1050000</v>
      </c>
      <c r="D124" s="80">
        <v>300000</v>
      </c>
      <c r="E124" s="80">
        <v>15000</v>
      </c>
      <c r="F124" s="81">
        <v>0.05</v>
      </c>
      <c r="G124" s="82">
        <v>90</v>
      </c>
      <c r="H124" s="82">
        <v>65</v>
      </c>
      <c r="I124" s="80">
        <v>75000</v>
      </c>
      <c r="J124" s="80">
        <v>125000</v>
      </c>
      <c r="K124" s="83">
        <v>0.1</v>
      </c>
      <c r="L124" s="81">
        <v>0.35</v>
      </c>
      <c r="M124" s="78">
        <f>M100*(1-B95)</f>
        <v>0.23749999999999999</v>
      </c>
      <c r="N124" s="81">
        <v>0.15</v>
      </c>
    </row>
    <row r="125" spans="1:14" ht="15" thickBot="1" x14ac:dyDescent="0.4">
      <c r="A125" s="86" t="s">
        <v>117</v>
      </c>
      <c r="B125" s="79">
        <v>5</v>
      </c>
      <c r="C125" s="80">
        <v>1050000</v>
      </c>
      <c r="D125" s="80">
        <v>300000</v>
      </c>
      <c r="E125" s="80">
        <v>15000</v>
      </c>
      <c r="F125" s="81">
        <v>0.05</v>
      </c>
      <c r="G125" s="82">
        <v>90</v>
      </c>
      <c r="H125" s="82">
        <v>65</v>
      </c>
      <c r="I125" s="80">
        <v>75000</v>
      </c>
      <c r="J125" s="80">
        <v>125000</v>
      </c>
      <c r="K125" s="83">
        <v>0.1</v>
      </c>
      <c r="L125" s="81">
        <v>0.35</v>
      </c>
      <c r="M125" s="78">
        <f>M102*(1+B97)</f>
        <v>0.25</v>
      </c>
      <c r="N125" s="81">
        <f>N100*(1+B95)</f>
        <v>0.1575</v>
      </c>
    </row>
    <row r="126" spans="1:14" ht="15" thickBot="1" x14ac:dyDescent="0.4">
      <c r="A126" s="86" t="s">
        <v>118</v>
      </c>
      <c r="B126" s="79">
        <v>5</v>
      </c>
      <c r="C126" s="80">
        <v>1050000</v>
      </c>
      <c r="D126" s="80">
        <v>300000</v>
      </c>
      <c r="E126" s="80">
        <v>15000</v>
      </c>
      <c r="F126" s="81">
        <v>0.05</v>
      </c>
      <c r="G126" s="82">
        <v>90</v>
      </c>
      <c r="H126" s="82">
        <v>65</v>
      </c>
      <c r="I126" s="80">
        <v>75000</v>
      </c>
      <c r="J126" s="80">
        <v>125000</v>
      </c>
      <c r="K126" s="83">
        <v>0.1</v>
      </c>
      <c r="L126" s="81">
        <v>0.35</v>
      </c>
      <c r="M126" s="78">
        <f>M102*(1-B97)</f>
        <v>0.25</v>
      </c>
      <c r="N126" s="81">
        <f>N100*(1-B95)</f>
        <v>0.14249999999999999</v>
      </c>
    </row>
    <row r="127" spans="1:14" x14ac:dyDescent="0.35">
      <c r="B127" s="4"/>
      <c r="C127" s="5"/>
    </row>
    <row r="128" spans="1:14" x14ac:dyDescent="0.35">
      <c r="B128" s="4"/>
      <c r="C128" s="5"/>
    </row>
    <row r="129" spans="2:3" x14ac:dyDescent="0.35">
      <c r="B129" s="4"/>
      <c r="C129" s="5"/>
    </row>
    <row r="130" spans="2:3" x14ac:dyDescent="0.35">
      <c r="B130" s="4"/>
      <c r="C130" s="5"/>
    </row>
    <row r="131" spans="2:3" x14ac:dyDescent="0.35">
      <c r="B131" s="4"/>
      <c r="C131" s="5"/>
    </row>
    <row r="132" spans="2:3" x14ac:dyDescent="0.35">
      <c r="B132" s="4"/>
      <c r="C132" s="5"/>
    </row>
    <row r="133" spans="2:3" x14ac:dyDescent="0.35">
      <c r="B133" s="4"/>
      <c r="C133" s="5"/>
    </row>
    <row r="134" spans="2:3" x14ac:dyDescent="0.35">
      <c r="B134" s="4"/>
      <c r="C134" s="5"/>
    </row>
    <row r="135" spans="2:3" x14ac:dyDescent="0.35">
      <c r="B135" s="4"/>
      <c r="C135" s="5"/>
    </row>
    <row r="136" spans="2:3" x14ac:dyDescent="0.35">
      <c r="B136" s="4"/>
      <c r="C136" s="5"/>
    </row>
    <row r="137" spans="2:3" x14ac:dyDescent="0.35">
      <c r="B137" s="4"/>
      <c r="C137" s="5"/>
    </row>
    <row r="138" spans="2:3" x14ac:dyDescent="0.35">
      <c r="B138" s="4"/>
      <c r="C138" s="5"/>
    </row>
    <row r="139" spans="2:3" x14ac:dyDescent="0.35">
      <c r="B139" s="4"/>
      <c r="C139" s="5"/>
    </row>
    <row r="140" spans="2:3" x14ac:dyDescent="0.35">
      <c r="B140" s="4"/>
      <c r="C140" s="5"/>
    </row>
    <row r="141" spans="2:3" x14ac:dyDescent="0.35">
      <c r="B141" s="4"/>
      <c r="C141" s="5"/>
    </row>
  </sheetData>
  <scenarios current="0" show="0" sqref="C6:C18">
    <scenario name="Base Case" locked="1" count="11" user="Faculty" comment="Created by Faculty on 3/4/2016">
      <inputCells r="C6" val="5"/>
      <inputCells r="C7" val="700000" numFmtId="3"/>
      <inputCells r="C8" val="150000" numFmtId="3"/>
      <inputCells r="C9" val="10000" numFmtId="3"/>
      <inputCells r="C10" val="0.05" numFmtId="9"/>
      <inputCells r="C11" val="90" numFmtId="2"/>
      <inputCells r="C12" val="60" numFmtId="2"/>
      <inputCells r="C13" val="40000" numFmtId="3"/>
      <inputCells r="C14" val="20000" numFmtId="3"/>
      <inputCells r="C16" val="0.35" numFmtId="9"/>
      <inputCells r="C18" val="0.15" numFmtId="9"/>
    </scenario>
    <scenario name="Best Case" locked="1" count="11" user="Faculty" comment="Created by Faculty on 3/4/2016">
      <inputCells r="C6" val="5"/>
      <inputCells r="C7" val="700000" numFmtId="164"/>
      <inputCells r="C8" val="150000" numFmtId="164"/>
      <inputCells r="C9" val="12000" numFmtId="3"/>
      <inputCells r="C10" val="0.08" numFmtId="9"/>
      <inputCells r="C11" val="92" numFmtId="164"/>
      <inputCells r="C12" val="59" numFmtId="165"/>
      <inputCells r="C13" val="40000" numFmtId="164"/>
      <inputCells r="C14" val="20000" numFmtId="164"/>
      <inputCells r="C16" val="0.35" numFmtId="9"/>
      <inputCells r="C18" val="0.14" numFmtId="9"/>
    </scenario>
    <scenario name="Worst Case" locked="1" count="11" user="Faculty" comment="Created by Faculty on 3/4/2016">
      <inputCells r="C6" val="5"/>
      <inputCells r="C7" val="700000" numFmtId="164"/>
      <inputCells r="C8" val="150000" numFmtId="164"/>
      <inputCells r="C9" val="8000" numFmtId="3"/>
      <inputCells r="C10" val="0.04" numFmtId="9"/>
      <inputCells r="C11" val="87" numFmtId="164"/>
      <inputCells r="C12" val="62" numFmtId="165"/>
      <inputCells r="C13" val="40000" numFmtId="164"/>
      <inputCells r="C14" val="20000" numFmtId="164"/>
      <inputCells r="C16" val="0.35" numFmtId="9"/>
      <inputCells r="C18" val="0.16" numFmtId="9"/>
    </scenario>
  </scenarios>
  <conditionalFormatting sqref="C103:N124">
    <cfRule type="cellIs" dxfId="12" priority="10" operator="notEqual">
      <formula>C$100</formula>
    </cfRule>
  </conditionalFormatting>
  <conditionalFormatting sqref="C101:K102">
    <cfRule type="cellIs" dxfId="11" priority="9" operator="notEqual">
      <formula>C$100</formula>
    </cfRule>
  </conditionalFormatting>
  <conditionalFormatting sqref="C125:N126">
    <cfRule type="cellIs" dxfId="10" priority="8" operator="notEqual">
      <formula>C$100</formula>
    </cfRule>
  </conditionalFormatting>
  <conditionalFormatting sqref="L9:AD32">
    <cfRule type="cellIs" priority="1" operator="notEqual">
      <formula>N$6</formula>
    </cfRule>
  </conditionalFormatting>
  <dataValidations count="2">
    <dataValidation type="list" allowBlank="1" showInputMessage="1" showErrorMessage="1" sqref="E4" xr:uid="{64F5D438-02F4-49B6-9836-22484089248E}">
      <formula1>"Cases"</formula1>
    </dataValidation>
    <dataValidation type="list" allowBlank="1" showInputMessage="1" showErrorMessage="1" sqref="C1" xr:uid="{057AD177-052F-4521-8015-5C9799BFF25E}">
      <formula1>Cases</formula1>
    </dataValidation>
  </dataValidations>
  <pageMargins left="0.7" right="0.7" top="0.75" bottom="0.75" header="0.3" footer="0.3"/>
  <pageSetup orientation="landscape" r:id="rId1"/>
  <drawing r:id="rId2"/>
  <tableParts count="3">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expression" priority="12" id="{435E436C-995A-4A23-9EB9-E6EFC19C56A3}">
            <xm:f>'D:\Ryerson\AFF514\Assignments 2020\[Assignment #2 - IAS Capital Budgeting and Scenario Analysis - Solution.xlsx]NPV Model'!#REF!&lt;&gt;'D:\Ryerson\AFF514\Assignments 2020\[Assignment #2 - IAS Capital Budgeting and Scenario Analysis - Solution.xlsx]NPV Model'!#REF!</xm:f>
            <x14:dxf>
              <font>
                <color theme="6" tint="-0.24994659260841701"/>
              </font>
            </x14:dxf>
          </x14:cfRule>
          <xm:sqref>B101</xm:sqref>
        </x14:conditionalFormatting>
        <x14:conditionalFormatting xmlns:xm="http://schemas.microsoft.com/office/excel/2006/main">
          <x14:cfRule type="expression" priority="11" id="{D5795EE7-3D81-4DA6-A4A4-0641890EBA1D}">
            <xm:f>'D:\Ryerson\AFF514\Assignments 2020\[Assignment #2 - IAS Capital Budgeting and Scenario Analysis - Solution.xlsx]NPV Model'!#REF!&lt;&gt;'D:\Ryerson\AFF514\Assignments 2020\[Assignment #2 - IAS Capital Budgeting and Scenario Analysis - Solution.xlsx]NPV Model'!#REF!</xm:f>
            <x14:dxf>
              <font>
                <color theme="9" tint="-0.24994659260841701"/>
              </font>
            </x14:dxf>
          </x14:cfRule>
          <xm:sqref>B102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H11"/>
  <sheetViews>
    <sheetView zoomScaleNormal="100" workbookViewId="0">
      <selection activeCell="A3" sqref="A3"/>
    </sheetView>
  </sheetViews>
  <sheetFormatPr defaultRowHeight="14.5" x14ac:dyDescent="0.35"/>
  <cols>
    <col min="1" max="1" width="54.453125" customWidth="1"/>
    <col min="2" max="2" width="14.08984375" customWidth="1"/>
    <col min="3" max="3" width="17.90625" customWidth="1"/>
    <col min="4" max="4" width="16.7265625" customWidth="1"/>
    <col min="5" max="5" width="15.26953125" customWidth="1"/>
    <col min="6" max="6" width="15.453125" customWidth="1"/>
    <col min="7" max="7" width="15.54296875" customWidth="1"/>
    <col min="8" max="8" width="14.90625" customWidth="1"/>
  </cols>
  <sheetData>
    <row r="5" spans="1:8" ht="22.5" x14ac:dyDescent="0.45">
      <c r="A5" s="148" t="s">
        <v>133</v>
      </c>
      <c r="B5" s="149"/>
      <c r="C5" s="149"/>
      <c r="D5" s="149"/>
      <c r="E5" s="149"/>
      <c r="F5" s="149"/>
      <c r="G5" s="149"/>
      <c r="H5" s="149"/>
    </row>
    <row r="6" spans="1:8" x14ac:dyDescent="0.35">
      <c r="A6" s="145"/>
      <c r="B6" s="145"/>
      <c r="C6" s="145"/>
      <c r="D6" s="145"/>
      <c r="E6" s="145"/>
      <c r="F6" s="145"/>
      <c r="G6" s="145"/>
      <c r="H6" s="145"/>
    </row>
    <row r="7" spans="1:8" ht="17.5" thickBot="1" x14ac:dyDescent="0.45">
      <c r="A7" s="146" t="s">
        <v>1</v>
      </c>
      <c r="B7" s="146"/>
      <c r="C7" s="146">
        <v>0</v>
      </c>
      <c r="D7" s="146">
        <v>1</v>
      </c>
      <c r="E7" s="146">
        <v>2</v>
      </c>
      <c r="F7" s="146">
        <v>3</v>
      </c>
      <c r="G7" s="146">
        <v>4</v>
      </c>
      <c r="H7" s="146">
        <v>5</v>
      </c>
    </row>
    <row r="8" spans="1:8" ht="15.5" thickTop="1" thickBot="1" x14ac:dyDescent="0.4">
      <c r="A8" s="150" t="s">
        <v>83</v>
      </c>
      <c r="B8" s="150"/>
      <c r="C8" s="150">
        <f>NWC_0</f>
        <v>125000</v>
      </c>
      <c r="D8" s="150">
        <f>NWC_to_Sales * 'NPV Model'!D25</f>
        <v>135000</v>
      </c>
      <c r="E8" s="150">
        <f>NWC_to_Sales * 'NPV Model'!E25</f>
        <v>141750</v>
      </c>
      <c r="F8" s="150">
        <f>NWC_to_Sales * 'NPV Model'!F25</f>
        <v>148837.5</v>
      </c>
      <c r="G8" s="150">
        <f>NWC_to_Sales * 'NPV Model'!G25</f>
        <v>156279.375</v>
      </c>
      <c r="H8" s="150">
        <f>NWC_to_Sales * 'NPV Model'!H25</f>
        <v>164093.34375</v>
      </c>
    </row>
    <row r="9" spans="1:8" ht="15" thickBot="1" x14ac:dyDescent="0.4">
      <c r="A9" s="147" t="s">
        <v>84</v>
      </c>
      <c r="B9" s="147"/>
      <c r="C9" s="147">
        <f t="shared" ref="C9:H9" si="0">B8-C8</f>
        <v>-125000</v>
      </c>
      <c r="D9" s="147">
        <f t="shared" si="0"/>
        <v>-10000</v>
      </c>
      <c r="E9" s="147">
        <f t="shared" si="0"/>
        <v>-6750</v>
      </c>
      <c r="F9" s="147">
        <f t="shared" si="0"/>
        <v>-7087.5</v>
      </c>
      <c r="G9" s="147">
        <f t="shared" si="0"/>
        <v>-7441.875</v>
      </c>
      <c r="H9" s="147">
        <f t="shared" si="0"/>
        <v>-7813.96875</v>
      </c>
    </row>
    <row r="10" spans="1:8" ht="15" thickBot="1" x14ac:dyDescent="0.4">
      <c r="A10" s="150" t="s">
        <v>85</v>
      </c>
      <c r="B10" s="150"/>
      <c r="C10" s="150"/>
      <c r="D10" s="150"/>
      <c r="E10" s="150"/>
      <c r="F10" s="150"/>
      <c r="G10" s="150"/>
      <c r="H10" s="150">
        <f>H8</f>
        <v>164093.34375</v>
      </c>
    </row>
    <row r="11" spans="1:8" ht="15" thickBot="1" x14ac:dyDescent="0.4">
      <c r="A11" s="147" t="s">
        <v>86</v>
      </c>
      <c r="B11" s="147"/>
      <c r="C11" s="147">
        <f t="shared" ref="C11:H11" si="1">SUM(C9,C10)</f>
        <v>-125000</v>
      </c>
      <c r="D11" s="147">
        <f t="shared" si="1"/>
        <v>-10000</v>
      </c>
      <c r="E11" s="147">
        <f t="shared" si="1"/>
        <v>-6750</v>
      </c>
      <c r="F11" s="147">
        <f t="shared" si="1"/>
        <v>-7087.5</v>
      </c>
      <c r="G11" s="147">
        <f t="shared" si="1"/>
        <v>-7441.875</v>
      </c>
      <c r="H11" s="147">
        <f t="shared" si="1"/>
        <v>156279.375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H14"/>
  <sheetViews>
    <sheetView zoomScale="115" zoomScaleNormal="115" workbookViewId="0">
      <selection activeCell="A14" sqref="A14"/>
    </sheetView>
  </sheetViews>
  <sheetFormatPr defaultRowHeight="14.5" x14ac:dyDescent="0.35"/>
  <cols>
    <col min="1" max="1" width="29.08984375" customWidth="1"/>
    <col min="2" max="2" width="11.08984375" bestFit="1" customWidth="1"/>
    <col min="4" max="4" width="11.6328125" customWidth="1"/>
    <col min="5" max="7" width="11.26953125" bestFit="1" customWidth="1"/>
    <col min="8" max="8" width="10.6328125" bestFit="1" customWidth="1"/>
  </cols>
  <sheetData>
    <row r="5" spans="1:8" ht="22.5" x14ac:dyDescent="0.45">
      <c r="A5" s="143" t="s">
        <v>132</v>
      </c>
      <c r="B5" s="144"/>
      <c r="C5" s="144"/>
      <c r="D5" s="144"/>
      <c r="E5" s="144"/>
      <c r="F5" s="144"/>
      <c r="G5" s="144"/>
      <c r="H5" s="144"/>
    </row>
    <row r="6" spans="1:8" x14ac:dyDescent="0.35">
      <c r="A6" s="34"/>
      <c r="B6" s="34"/>
      <c r="C6" s="34"/>
      <c r="D6" s="34"/>
      <c r="E6" s="34"/>
      <c r="F6" s="34"/>
      <c r="G6" s="34"/>
      <c r="H6" s="34"/>
    </row>
    <row r="7" spans="1:8" ht="17.5" thickBot="1" x14ac:dyDescent="0.45">
      <c r="A7" s="138" t="s">
        <v>1</v>
      </c>
      <c r="B7" s="138"/>
      <c r="C7" s="138">
        <v>0</v>
      </c>
      <c r="D7" s="138">
        <v>1</v>
      </c>
      <c r="E7" s="138">
        <v>2</v>
      </c>
      <c r="F7" s="138">
        <v>3</v>
      </c>
      <c r="G7" s="138">
        <v>4</v>
      </c>
      <c r="H7" s="138">
        <v>5</v>
      </c>
    </row>
    <row r="8" spans="1:8" ht="15" thickTop="1" x14ac:dyDescent="0.35">
      <c r="A8" s="34"/>
      <c r="B8" s="34"/>
      <c r="C8" s="34"/>
      <c r="D8" s="34"/>
      <c r="E8" s="34"/>
      <c r="F8" s="34"/>
      <c r="G8" s="34"/>
      <c r="H8" s="34"/>
    </row>
    <row r="9" spans="1:8" ht="15" thickBot="1" x14ac:dyDescent="0.4">
      <c r="A9" s="141" t="s">
        <v>79</v>
      </c>
      <c r="B9" s="141"/>
      <c r="C9" s="141"/>
      <c r="D9" s="142">
        <f>0.5*CapEx</f>
        <v>525000</v>
      </c>
      <c r="E9" s="142">
        <f>D11+0.5*CapEx</f>
        <v>918750</v>
      </c>
      <c r="F9" s="142">
        <f>E11</f>
        <v>689062.5</v>
      </c>
      <c r="G9" s="142">
        <f>F11</f>
        <v>516796.875</v>
      </c>
      <c r="H9" s="142">
        <f>G11</f>
        <v>387597.65625</v>
      </c>
    </row>
    <row r="10" spans="1:8" ht="15" thickBot="1" x14ac:dyDescent="0.4">
      <c r="A10" s="139" t="s">
        <v>80</v>
      </c>
      <c r="B10" s="139"/>
      <c r="C10" s="139"/>
      <c r="D10" s="140">
        <f>-d*D9</f>
        <v>-131250</v>
      </c>
      <c r="E10" s="140">
        <f>-d*E9</f>
        <v>-229687.5</v>
      </c>
      <c r="F10" s="140">
        <f>-d*F9</f>
        <v>-172265.625</v>
      </c>
      <c r="G10" s="140">
        <f>-d*G9</f>
        <v>-129199.21875</v>
      </c>
      <c r="H10" s="140">
        <f>-d*H9</f>
        <v>-96899.4140625</v>
      </c>
    </row>
    <row r="11" spans="1:8" ht="15" thickBot="1" x14ac:dyDescent="0.4">
      <c r="A11" s="141" t="s">
        <v>81</v>
      </c>
      <c r="B11" s="141"/>
      <c r="C11" s="141"/>
      <c r="D11" s="142">
        <f>SUM(D9:D10)</f>
        <v>393750</v>
      </c>
      <c r="E11" s="142">
        <f>SUM(E9:E10)</f>
        <v>689062.5</v>
      </c>
      <c r="F11" s="142">
        <f>SUM(F9:F10)</f>
        <v>516796.875</v>
      </c>
      <c r="G11" s="142">
        <f>SUM(G9:G10)</f>
        <v>387597.65625</v>
      </c>
      <c r="H11" s="142">
        <f>SUM(H9:H10)</f>
        <v>290698.2421875</v>
      </c>
    </row>
    <row r="14" spans="1:8" x14ac:dyDescent="0.35">
      <c r="A14"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5A725-11C8-4381-8D58-3E1236D7354B}">
  <dimension ref="A3:B5"/>
  <sheetViews>
    <sheetView tabSelected="1" workbookViewId="0">
      <selection activeCell="E5" sqref="E5"/>
    </sheetView>
  </sheetViews>
  <sheetFormatPr defaultRowHeight="14.5" x14ac:dyDescent="0.35"/>
  <cols>
    <col min="1" max="1" width="9.08984375" bestFit="1" customWidth="1"/>
    <col min="2" max="2" width="42.36328125" customWidth="1"/>
  </cols>
  <sheetData>
    <row r="3" spans="1:2" x14ac:dyDescent="0.35">
      <c r="A3" t="s">
        <v>128</v>
      </c>
      <c r="B3" t="s">
        <v>129</v>
      </c>
    </row>
    <row r="4" spans="1:2" x14ac:dyDescent="0.35">
      <c r="A4" t="s">
        <v>130</v>
      </c>
      <c r="B4" s="136">
        <v>45924</v>
      </c>
    </row>
    <row r="5" spans="1:2" ht="188.5" x14ac:dyDescent="0.35">
      <c r="A5" t="s">
        <v>131</v>
      </c>
      <c r="B5" s="72" t="s">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41"/>
  <sheetViews>
    <sheetView topLeftCell="A36" zoomScale="70" zoomScaleNormal="70" workbookViewId="0">
      <selection activeCell="E54" sqref="E54"/>
    </sheetView>
  </sheetViews>
  <sheetFormatPr defaultRowHeight="14.5" x14ac:dyDescent="0.35"/>
  <cols>
    <col min="1" max="1" width="31" customWidth="1"/>
    <col min="2" max="2" width="16.6328125" customWidth="1"/>
    <col min="3" max="3" width="22.08984375" customWidth="1"/>
    <col min="4" max="4" width="12.90625" customWidth="1"/>
    <col min="5" max="5" width="17" customWidth="1"/>
    <col min="6" max="6" width="13.1796875" bestFit="1" customWidth="1"/>
    <col min="7" max="8" width="12.6328125" customWidth="1"/>
    <col min="9" max="10" width="10.54296875" customWidth="1"/>
    <col min="11" max="11" width="11.90625" customWidth="1"/>
    <col min="12" max="12" width="11.36328125" customWidth="1"/>
    <col min="13" max="13" width="12.90625" customWidth="1"/>
    <col min="14" max="16" width="15.6328125" customWidth="1"/>
    <col min="17" max="17" width="13.36328125" customWidth="1"/>
    <col min="18" max="18" width="12.54296875" customWidth="1"/>
    <col min="19" max="34" width="15.6328125" customWidth="1"/>
  </cols>
  <sheetData>
    <row r="1" spans="1:23" ht="22.5" x14ac:dyDescent="0.45">
      <c r="A1" s="13" t="s">
        <v>77</v>
      </c>
      <c r="B1" s="13"/>
    </row>
    <row r="2" spans="1:23" ht="22.5" x14ac:dyDescent="0.45">
      <c r="A2" s="13"/>
      <c r="B2" s="13"/>
    </row>
    <row r="3" spans="1:23" x14ac:dyDescent="0.35">
      <c r="A3" t="s">
        <v>3</v>
      </c>
      <c r="F3" s="7"/>
      <c r="G3" s="7"/>
      <c r="H3" s="7"/>
      <c r="I3" s="7"/>
      <c r="J3" s="14"/>
      <c r="K3" s="14"/>
      <c r="L3" s="7"/>
      <c r="M3" s="7"/>
      <c r="N3" s="7"/>
      <c r="O3" s="7"/>
      <c r="P3" s="7"/>
      <c r="Q3" s="7"/>
      <c r="R3" s="7"/>
      <c r="S3" s="7"/>
      <c r="T3" s="15"/>
      <c r="U3" s="15"/>
      <c r="V3" s="7"/>
      <c r="W3" s="7"/>
    </row>
    <row r="4" spans="1:23" x14ac:dyDescent="0.35">
      <c r="E4" s="1"/>
      <c r="F4" s="16"/>
      <c r="G4" s="17"/>
      <c r="H4" s="17"/>
      <c r="I4" s="6"/>
      <c r="J4" s="18"/>
      <c r="K4" s="17"/>
      <c r="L4" s="17"/>
      <c r="M4" s="17"/>
      <c r="N4" s="17"/>
      <c r="O4" s="18"/>
      <c r="P4" s="18"/>
      <c r="Q4" s="19"/>
      <c r="R4" s="18"/>
      <c r="S4" s="17"/>
      <c r="T4" s="19"/>
      <c r="U4" s="19"/>
      <c r="V4" s="20"/>
      <c r="W4" s="20"/>
    </row>
    <row r="5" spans="1:23" x14ac:dyDescent="0.35">
      <c r="B5" t="s">
        <v>46</v>
      </c>
      <c r="C5" t="s">
        <v>39</v>
      </c>
      <c r="F5" s="21"/>
      <c r="G5" s="3"/>
      <c r="H5" s="3"/>
      <c r="I5" s="5"/>
      <c r="J5" s="22"/>
      <c r="K5" s="3"/>
      <c r="L5" s="3"/>
      <c r="M5" s="3"/>
      <c r="N5" s="3"/>
      <c r="O5" s="22"/>
      <c r="P5" s="22"/>
      <c r="Q5" s="23"/>
      <c r="R5" s="22"/>
      <c r="S5" s="3"/>
      <c r="T5" s="23"/>
      <c r="U5" s="23"/>
      <c r="V5" s="24"/>
      <c r="W5" s="24"/>
    </row>
    <row r="6" spans="1:23" x14ac:dyDescent="0.35">
      <c r="A6" t="s">
        <v>15</v>
      </c>
      <c r="B6" t="s">
        <v>14</v>
      </c>
      <c r="C6" s="26">
        <v>5</v>
      </c>
      <c r="F6" s="21"/>
      <c r="G6" s="3"/>
      <c r="H6" s="3"/>
      <c r="I6" s="5"/>
      <c r="J6" s="22"/>
      <c r="K6" s="3"/>
      <c r="L6" s="3"/>
      <c r="M6" s="3"/>
      <c r="N6" s="3"/>
      <c r="O6" s="22"/>
      <c r="P6" s="22"/>
      <c r="Q6" s="23"/>
      <c r="R6" s="22"/>
      <c r="S6" s="3"/>
      <c r="T6" s="23"/>
      <c r="U6" s="23"/>
      <c r="V6" s="24"/>
      <c r="W6" s="24"/>
    </row>
    <row r="7" spans="1:23" x14ac:dyDescent="0.35">
      <c r="A7" t="s">
        <v>0</v>
      </c>
      <c r="B7" t="s">
        <v>20</v>
      </c>
      <c r="C7" s="26">
        <v>1050000</v>
      </c>
      <c r="F7" s="21"/>
      <c r="G7" s="3"/>
      <c r="H7" s="3"/>
      <c r="I7" s="5"/>
      <c r="J7" s="22"/>
      <c r="K7" s="3"/>
      <c r="L7" s="3"/>
      <c r="M7" s="3"/>
      <c r="N7" s="3"/>
      <c r="O7" s="22"/>
      <c r="P7" s="22"/>
      <c r="Q7" s="23"/>
      <c r="R7" s="22"/>
      <c r="S7" s="3"/>
      <c r="T7" s="23"/>
      <c r="U7" s="23"/>
      <c r="V7" s="24"/>
      <c r="W7" s="24"/>
    </row>
    <row r="8" spans="1:23" x14ac:dyDescent="0.35">
      <c r="A8" t="s">
        <v>6</v>
      </c>
      <c r="B8" t="s">
        <v>16</v>
      </c>
      <c r="C8" s="26">
        <v>300000</v>
      </c>
      <c r="F8" s="21"/>
      <c r="G8" s="3"/>
      <c r="H8" s="3"/>
      <c r="I8" s="5"/>
      <c r="J8" s="22"/>
      <c r="K8" s="3"/>
      <c r="L8" s="3"/>
      <c r="M8" s="3"/>
      <c r="N8" s="3"/>
      <c r="O8" s="22"/>
      <c r="P8" s="22"/>
      <c r="Q8" s="23"/>
      <c r="R8" s="22"/>
      <c r="S8" s="3"/>
      <c r="T8" s="23"/>
      <c r="U8" s="23"/>
      <c r="V8" s="24"/>
      <c r="W8" s="24"/>
    </row>
    <row r="9" spans="1:23" x14ac:dyDescent="0.35">
      <c r="A9" t="s">
        <v>38</v>
      </c>
      <c r="B9" t="s">
        <v>25</v>
      </c>
      <c r="C9" s="26">
        <v>15000</v>
      </c>
      <c r="F9" s="21"/>
      <c r="G9" s="3"/>
      <c r="H9" s="3"/>
      <c r="I9" s="5"/>
      <c r="J9" s="22"/>
      <c r="K9" s="3"/>
      <c r="L9" s="3"/>
      <c r="M9" s="3"/>
      <c r="N9" s="3"/>
      <c r="O9" s="22"/>
      <c r="P9" s="22"/>
      <c r="Q9" s="23"/>
      <c r="R9" s="22"/>
      <c r="S9" s="3"/>
      <c r="T9" s="23"/>
      <c r="U9" s="23"/>
      <c r="V9" s="24"/>
      <c r="W9" s="24"/>
    </row>
    <row r="10" spans="1:23" x14ac:dyDescent="0.35">
      <c r="A10" t="s">
        <v>40</v>
      </c>
      <c r="B10" t="s">
        <v>26</v>
      </c>
      <c r="C10" s="27">
        <v>0.05</v>
      </c>
      <c r="F10" s="21"/>
      <c r="G10" s="3"/>
      <c r="H10" s="3"/>
      <c r="I10" s="5"/>
      <c r="J10" s="22"/>
      <c r="K10" s="3"/>
      <c r="L10" s="3"/>
      <c r="M10" s="3"/>
      <c r="N10" s="3"/>
      <c r="O10" s="22"/>
      <c r="P10" s="22"/>
      <c r="Q10" s="23"/>
      <c r="R10" s="22"/>
      <c r="S10" s="3"/>
      <c r="T10" s="23"/>
      <c r="U10" s="23"/>
      <c r="V10" s="24"/>
      <c r="W10" s="24"/>
    </row>
    <row r="11" spans="1:23" x14ac:dyDescent="0.35">
      <c r="A11" t="s">
        <v>22</v>
      </c>
      <c r="B11" t="s">
        <v>23</v>
      </c>
      <c r="C11" s="28">
        <v>90</v>
      </c>
      <c r="F11" s="21"/>
      <c r="G11" s="3"/>
      <c r="H11" s="3"/>
      <c r="I11" s="5"/>
      <c r="J11" s="22"/>
      <c r="K11" s="3"/>
      <c r="L11" s="3"/>
      <c r="M11" s="3"/>
      <c r="N11" s="3"/>
      <c r="O11" s="22"/>
      <c r="P11" s="22"/>
      <c r="Q11" s="23"/>
      <c r="R11" s="22"/>
      <c r="S11" s="3"/>
      <c r="T11" s="23"/>
      <c r="U11" s="23"/>
      <c r="V11" s="24"/>
      <c r="W11" s="24"/>
    </row>
    <row r="12" spans="1:23" x14ac:dyDescent="0.35">
      <c r="A12" t="s">
        <v>7</v>
      </c>
      <c r="B12" t="s">
        <v>18</v>
      </c>
      <c r="C12" s="28">
        <v>65</v>
      </c>
      <c r="F12" s="21"/>
      <c r="G12" s="3"/>
      <c r="H12" s="3"/>
      <c r="I12" s="5"/>
      <c r="J12" s="22"/>
      <c r="K12" s="3"/>
      <c r="L12" s="3"/>
      <c r="M12" s="3"/>
      <c r="N12" s="3"/>
      <c r="O12" s="22"/>
      <c r="P12" s="22"/>
      <c r="Q12" s="23"/>
      <c r="R12" s="22"/>
      <c r="S12" s="3"/>
      <c r="T12" s="23"/>
      <c r="U12" s="23"/>
      <c r="V12" s="24"/>
      <c r="W12" s="24"/>
    </row>
    <row r="13" spans="1:23" x14ac:dyDescent="0.35">
      <c r="A13" t="s">
        <v>5</v>
      </c>
      <c r="B13" t="s">
        <v>17</v>
      </c>
      <c r="C13" s="26">
        <v>75000</v>
      </c>
      <c r="F13" s="21"/>
      <c r="G13" s="3"/>
      <c r="H13" s="3"/>
      <c r="I13" s="5"/>
      <c r="J13" s="22"/>
      <c r="K13" s="3"/>
      <c r="L13" s="3"/>
      <c r="M13" s="3"/>
      <c r="N13" s="3"/>
      <c r="O13" s="22"/>
      <c r="P13" s="22"/>
      <c r="Q13" s="23"/>
      <c r="R13" s="22"/>
      <c r="S13" s="3"/>
      <c r="T13" s="23"/>
      <c r="U13" s="23"/>
      <c r="V13" s="24"/>
      <c r="W13" s="24"/>
    </row>
    <row r="14" spans="1:23" x14ac:dyDescent="0.35">
      <c r="A14" t="s">
        <v>8</v>
      </c>
      <c r="B14" t="s">
        <v>60</v>
      </c>
      <c r="C14" s="26">
        <v>125000</v>
      </c>
      <c r="F14" s="21"/>
      <c r="G14" s="3"/>
      <c r="H14" s="3"/>
      <c r="I14" s="5"/>
      <c r="J14" s="22"/>
      <c r="K14" s="3"/>
      <c r="L14" s="3"/>
      <c r="M14" s="3"/>
      <c r="N14" s="3"/>
      <c r="O14" s="22"/>
      <c r="P14" s="22"/>
      <c r="Q14" s="23"/>
      <c r="R14" s="22"/>
      <c r="S14" s="3"/>
      <c r="T14" s="23"/>
      <c r="U14" s="23"/>
      <c r="V14" s="24"/>
      <c r="W14" s="24"/>
    </row>
    <row r="15" spans="1:23" x14ac:dyDescent="0.35">
      <c r="A15" t="s">
        <v>59</v>
      </c>
      <c r="B15" t="s">
        <v>61</v>
      </c>
      <c r="C15" s="29">
        <v>0.1</v>
      </c>
      <c r="F15" s="21"/>
      <c r="G15" s="3"/>
      <c r="H15" s="3"/>
      <c r="I15" s="5"/>
      <c r="J15" s="22"/>
      <c r="K15" s="3"/>
      <c r="L15" s="3"/>
      <c r="M15" s="3"/>
      <c r="N15" s="3"/>
      <c r="O15" s="22"/>
      <c r="P15" s="22"/>
      <c r="Q15" s="23"/>
      <c r="R15" s="22"/>
      <c r="S15" s="3"/>
      <c r="T15" s="23"/>
      <c r="U15" s="23"/>
      <c r="V15" s="24"/>
      <c r="W15" s="24"/>
    </row>
    <row r="16" spans="1:23" x14ac:dyDescent="0.35">
      <c r="A16" t="s">
        <v>4</v>
      </c>
      <c r="B16" t="s">
        <v>19</v>
      </c>
      <c r="C16" s="27">
        <v>0.35</v>
      </c>
      <c r="F16" s="25"/>
      <c r="G16" s="3"/>
      <c r="H16" s="3"/>
      <c r="I16" s="5"/>
      <c r="J16" s="22"/>
      <c r="K16" s="3"/>
      <c r="L16" s="3"/>
      <c r="M16" s="3"/>
      <c r="N16" s="3"/>
      <c r="O16" s="22"/>
      <c r="P16" s="22"/>
      <c r="Q16" s="23"/>
      <c r="R16" s="22"/>
      <c r="S16" s="3"/>
      <c r="T16" s="23"/>
      <c r="U16" s="23"/>
      <c r="V16" s="24"/>
      <c r="W16" s="24"/>
    </row>
    <row r="17" spans="1:23" ht="15.75" customHeight="1" x14ac:dyDescent="0.35">
      <c r="A17" t="s">
        <v>54</v>
      </c>
      <c r="B17" t="s">
        <v>55</v>
      </c>
      <c r="C17" s="29">
        <v>0.25</v>
      </c>
      <c r="F17" s="21"/>
      <c r="G17" s="3"/>
      <c r="H17" s="3"/>
      <c r="I17" s="5"/>
      <c r="J17" s="22"/>
      <c r="K17" s="3"/>
      <c r="L17" s="3"/>
      <c r="M17" s="3"/>
      <c r="N17" s="3"/>
      <c r="O17" s="22"/>
      <c r="P17" s="22"/>
      <c r="Q17" s="23"/>
      <c r="R17" s="22"/>
      <c r="S17" s="3"/>
      <c r="T17" s="23"/>
      <c r="U17" s="23"/>
      <c r="V17" s="24"/>
      <c r="W17" s="24"/>
    </row>
    <row r="18" spans="1:23" x14ac:dyDescent="0.35">
      <c r="A18" t="s">
        <v>12</v>
      </c>
      <c r="B18" t="s">
        <v>21</v>
      </c>
      <c r="C18" s="27">
        <v>0.15</v>
      </c>
      <c r="F18" s="21"/>
      <c r="G18" s="3"/>
      <c r="H18" s="3"/>
      <c r="I18" s="5"/>
      <c r="J18" s="22"/>
      <c r="K18" s="3"/>
      <c r="L18" s="3"/>
      <c r="M18" s="3"/>
      <c r="N18" s="3"/>
      <c r="O18" s="22"/>
      <c r="P18" s="22"/>
      <c r="Q18" s="23"/>
      <c r="R18" s="22"/>
      <c r="S18" s="3"/>
      <c r="T18" s="23"/>
      <c r="U18" s="23"/>
      <c r="V18" s="24"/>
      <c r="W18" s="24"/>
    </row>
    <row r="19" spans="1:23" x14ac:dyDescent="0.35">
      <c r="F19" s="21"/>
      <c r="G19" s="3"/>
      <c r="H19" s="3"/>
      <c r="I19" s="5"/>
      <c r="J19" s="22"/>
      <c r="K19" s="3"/>
      <c r="L19" s="3"/>
      <c r="M19" s="3"/>
      <c r="N19" s="3"/>
      <c r="O19" s="22"/>
      <c r="P19" s="22"/>
      <c r="Q19" s="23"/>
      <c r="R19" s="22"/>
      <c r="S19" s="3"/>
      <c r="T19" s="23"/>
      <c r="U19" s="23"/>
      <c r="V19" s="24"/>
      <c r="W19" s="24"/>
    </row>
    <row r="21" spans="1:23" x14ac:dyDescent="0.35">
      <c r="A21" t="s">
        <v>33</v>
      </c>
    </row>
    <row r="23" spans="1:23" s="1" customFormat="1" x14ac:dyDescent="0.35">
      <c r="A23" t="s">
        <v>24</v>
      </c>
      <c r="B23"/>
      <c r="C23">
        <v>0</v>
      </c>
      <c r="D23">
        <v>1</v>
      </c>
      <c r="E23">
        <v>2</v>
      </c>
      <c r="F23">
        <v>3</v>
      </c>
      <c r="G23">
        <v>4</v>
      </c>
      <c r="H23">
        <v>5</v>
      </c>
      <c r="I23"/>
      <c r="J23"/>
      <c r="K23"/>
      <c r="L23"/>
      <c r="M23"/>
    </row>
    <row r="24" spans="1:23" x14ac:dyDescent="0.35">
      <c r="A24" t="s">
        <v>27</v>
      </c>
      <c r="D24" s="3">
        <f>FYS_Vol</f>
        <v>15000</v>
      </c>
      <c r="E24" s="3">
        <f>D24 * (1+GR)</f>
        <v>15750</v>
      </c>
      <c r="F24" s="3">
        <f>E24 * (1+GR)</f>
        <v>16537.5</v>
      </c>
      <c r="G24" s="3">
        <f>F24 * (1+GR)</f>
        <v>17364.375</v>
      </c>
      <c r="H24" s="3">
        <f>G24 * (1+GR)</f>
        <v>18232.59375</v>
      </c>
    </row>
    <row r="25" spans="1:23" x14ac:dyDescent="0.35">
      <c r="A25" t="s">
        <v>9</v>
      </c>
      <c r="D25" s="3">
        <f>D24*Rev_unit</f>
        <v>1350000</v>
      </c>
      <c r="E25" s="3">
        <f>E24*Rev_unit</f>
        <v>1417500</v>
      </c>
      <c r="F25" s="3">
        <f>F24*Rev_unit</f>
        <v>1488375</v>
      </c>
      <c r="G25" s="3">
        <f>G24*Rev_unit</f>
        <v>1562793.75</v>
      </c>
      <c r="H25" s="3">
        <f>H24*Rev_unit</f>
        <v>1640933.4375</v>
      </c>
    </row>
    <row r="26" spans="1:23" x14ac:dyDescent="0.35">
      <c r="A26" t="s">
        <v>7</v>
      </c>
      <c r="D26" s="3">
        <f>-D24*VC</f>
        <v>-975000</v>
      </c>
      <c r="E26" s="3">
        <f>-E24*VC</f>
        <v>-1023750</v>
      </c>
      <c r="F26" s="3">
        <f>-F24*VC</f>
        <v>-1074937.5</v>
      </c>
      <c r="G26" s="3">
        <f>-G24*VC</f>
        <v>-1128684.375</v>
      </c>
      <c r="H26" s="3">
        <f>-H24*VC</f>
        <v>-1185118.59375</v>
      </c>
    </row>
    <row r="27" spans="1:23" x14ac:dyDescent="0.35">
      <c r="A27" t="s">
        <v>5</v>
      </c>
      <c r="D27" s="3">
        <f>-FC</f>
        <v>-75000</v>
      </c>
      <c r="E27" s="3">
        <f>-FC</f>
        <v>-75000</v>
      </c>
      <c r="F27" s="3">
        <f>-FC</f>
        <v>-75000</v>
      </c>
      <c r="G27" s="3">
        <f>-FC</f>
        <v>-75000</v>
      </c>
      <c r="H27" s="3">
        <f>-FC</f>
        <v>-75000</v>
      </c>
    </row>
    <row r="28" spans="1:23" x14ac:dyDescent="0.35">
      <c r="A28" t="s">
        <v>53</v>
      </c>
      <c r="D28" s="32">
        <f>'CCA Schedule'!D10</f>
        <v>-131250</v>
      </c>
      <c r="E28" s="32">
        <f>'CCA Schedule'!E10</f>
        <v>-229687.5</v>
      </c>
      <c r="F28" s="32">
        <f>'CCA Schedule'!F10</f>
        <v>-172265.625</v>
      </c>
      <c r="G28" s="32">
        <f>'CCA Schedule'!G10</f>
        <v>-129199.21875</v>
      </c>
      <c r="H28" s="32">
        <f>'CCA Schedule'!H10</f>
        <v>-96899.4140625</v>
      </c>
      <c r="N28" s="5"/>
    </row>
    <row r="29" spans="1:23" s="1" customFormat="1" x14ac:dyDescent="0.35">
      <c r="A29" t="s">
        <v>56</v>
      </c>
      <c r="B29"/>
      <c r="C29"/>
      <c r="D29" s="3"/>
      <c r="E29" s="3"/>
      <c r="F29" s="3"/>
      <c r="G29" s="3"/>
      <c r="H29" s="32">
        <f>Sal-'CCA Schedule'!H11</f>
        <v>9301.7578125</v>
      </c>
      <c r="I29"/>
      <c r="J29"/>
      <c r="K29"/>
      <c r="L29"/>
      <c r="M29"/>
      <c r="N29" s="6"/>
    </row>
    <row r="30" spans="1:23" s="1" customFormat="1" x14ac:dyDescent="0.35">
      <c r="A30" t="s">
        <v>10</v>
      </c>
      <c r="B30"/>
      <c r="C30"/>
      <c r="D30" s="17">
        <f>SUM(D25:D29)</f>
        <v>168750</v>
      </c>
      <c r="E30" s="17">
        <f>SUM(E25:E29)</f>
        <v>89062.5</v>
      </c>
      <c r="F30" s="17">
        <f>SUM(F25:F29)</f>
        <v>166171.875</v>
      </c>
      <c r="G30" s="17">
        <f>SUM(G25:G29)</f>
        <v>229910.15625</v>
      </c>
      <c r="H30" s="17">
        <f>SUM(H25:H29)</f>
        <v>293217.1875</v>
      </c>
      <c r="I30"/>
      <c r="J30" s="5"/>
      <c r="K30" s="5"/>
      <c r="L30" s="5"/>
      <c r="M30" s="5"/>
      <c r="N30" s="6"/>
    </row>
    <row r="31" spans="1:23" x14ac:dyDescent="0.35">
      <c r="A31" t="s">
        <v>11</v>
      </c>
      <c r="D31" s="3">
        <f>-Tax_Rate*D30</f>
        <v>-59062.499999999993</v>
      </c>
      <c r="E31" s="3">
        <f>-Tax_Rate*E30</f>
        <v>-31171.874999999996</v>
      </c>
      <c r="F31" s="3">
        <f>-Tax_Rate*F30</f>
        <v>-58160.156249999993</v>
      </c>
      <c r="G31" s="3">
        <f>-Tax_Rate*G30</f>
        <v>-80468.5546875</v>
      </c>
      <c r="H31" s="3">
        <f>-Tax_Rate*H30</f>
        <v>-102626.015625</v>
      </c>
      <c r="N31" s="5"/>
    </row>
    <row r="32" spans="1:23" s="1" customFormat="1" x14ac:dyDescent="0.35">
      <c r="A32" t="s">
        <v>57</v>
      </c>
      <c r="B32"/>
      <c r="C32"/>
      <c r="D32" s="17">
        <f>SUM(D30:D31)</f>
        <v>109687.5</v>
      </c>
      <c r="E32" s="17">
        <f>SUM(E30:E31)</f>
        <v>57890.625</v>
      </c>
      <c r="F32" s="17">
        <f>SUM(F30:F31)</f>
        <v>108011.71875</v>
      </c>
      <c r="G32" s="17">
        <f>SUM(G30:G31)</f>
        <v>149441.6015625</v>
      </c>
      <c r="H32" s="17">
        <f>SUM(H30:H31)</f>
        <v>190591.171875</v>
      </c>
      <c r="I32"/>
      <c r="J32"/>
      <c r="K32"/>
      <c r="L32"/>
      <c r="M32"/>
    </row>
    <row r="33" spans="1:13" s="1" customFormat="1" x14ac:dyDescent="0.35">
      <c r="A33"/>
      <c r="B33"/>
      <c r="C33"/>
      <c r="D33" s="30"/>
      <c r="E33" s="30"/>
      <c r="F33" s="30"/>
      <c r="G33" s="30"/>
      <c r="H33" s="30"/>
      <c r="I33"/>
      <c r="J33"/>
      <c r="K33"/>
      <c r="L33"/>
      <c r="M33"/>
    </row>
    <row r="34" spans="1:13" x14ac:dyDescent="0.35">
      <c r="D34" s="30"/>
      <c r="E34" s="30"/>
      <c r="F34" s="30"/>
      <c r="G34" s="30"/>
      <c r="H34" s="30"/>
    </row>
    <row r="35" spans="1:13" x14ac:dyDescent="0.35">
      <c r="A35" t="s">
        <v>13</v>
      </c>
      <c r="D35" s="30"/>
      <c r="E35" s="30"/>
      <c r="F35" s="30"/>
      <c r="G35" s="30"/>
      <c r="H35" s="30"/>
    </row>
    <row r="36" spans="1:13" x14ac:dyDescent="0.35">
      <c r="C36" t="s">
        <v>2</v>
      </c>
      <c r="D36" s="30"/>
      <c r="E36" s="30"/>
      <c r="F36" s="30"/>
      <c r="G36" s="30"/>
      <c r="H36" s="30"/>
    </row>
    <row r="37" spans="1:13" s="1" customFormat="1" x14ac:dyDescent="0.35">
      <c r="A37" t="s">
        <v>1</v>
      </c>
      <c r="B37"/>
      <c r="C37">
        <f t="shared" ref="C37:H37" si="0">C23</f>
        <v>0</v>
      </c>
      <c r="D37" s="21">
        <f t="shared" si="0"/>
        <v>1</v>
      </c>
      <c r="E37" s="21">
        <f t="shared" si="0"/>
        <v>2</v>
      </c>
      <c r="F37" s="21">
        <f t="shared" si="0"/>
        <v>3</v>
      </c>
      <c r="G37" s="21">
        <f t="shared" si="0"/>
        <v>4</v>
      </c>
      <c r="H37" s="21">
        <f t="shared" si="0"/>
        <v>5</v>
      </c>
      <c r="I37"/>
      <c r="J37"/>
      <c r="K37"/>
      <c r="L37"/>
      <c r="M37"/>
    </row>
    <row r="38" spans="1:13" x14ac:dyDescent="0.35">
      <c r="A38" t="s">
        <v>58</v>
      </c>
      <c r="D38" s="3">
        <f>D32</f>
        <v>109687.5</v>
      </c>
      <c r="E38" s="3">
        <f>E32</f>
        <v>57890.625</v>
      </c>
      <c r="F38" s="3">
        <f>F32</f>
        <v>108011.71875</v>
      </c>
      <c r="G38" s="3">
        <f>G32</f>
        <v>149441.6015625</v>
      </c>
      <c r="H38" s="3">
        <f>H32</f>
        <v>190591.171875</v>
      </c>
    </row>
    <row r="39" spans="1:13" ht="15" customHeight="1" x14ac:dyDescent="0.35">
      <c r="A39" t="s">
        <v>62</v>
      </c>
      <c r="D39" s="3">
        <f>-SUM(D28:D29)</f>
        <v>131250</v>
      </c>
      <c r="E39" s="3">
        <f>-SUM(E28:E29)</f>
        <v>229687.5</v>
      </c>
      <c r="F39" s="3">
        <f>-SUM(F28:F29)</f>
        <v>172265.625</v>
      </c>
      <c r="G39" s="3">
        <f>-SUM(G28:G29)</f>
        <v>129199.21875</v>
      </c>
      <c r="H39" s="3">
        <f>-SUM(H28:H29)</f>
        <v>87597.65625</v>
      </c>
    </row>
    <row r="40" spans="1:13" s="1" customFormat="1" x14ac:dyDescent="0.35">
      <c r="A40" t="s">
        <v>28</v>
      </c>
      <c r="B40"/>
      <c r="C40"/>
      <c r="D40" s="17">
        <f>SUM(D38:D39)</f>
        <v>240937.5</v>
      </c>
      <c r="E40" s="17">
        <f>SUM(E38:E39)</f>
        <v>287578.125</v>
      </c>
      <c r="F40" s="17">
        <f>SUM(F38:F39)</f>
        <v>280277.34375</v>
      </c>
      <c r="G40" s="17">
        <f>SUM(G38:G39)</f>
        <v>278640.8203125</v>
      </c>
      <c r="H40" s="17">
        <f>SUM(H38:H39)</f>
        <v>278188.828125</v>
      </c>
      <c r="I40"/>
      <c r="J40"/>
      <c r="K40"/>
      <c r="L40"/>
      <c r="M40"/>
    </row>
    <row r="41" spans="1:13" s="1" customFormat="1" x14ac:dyDescent="0.35">
      <c r="A41"/>
      <c r="B41"/>
      <c r="C41"/>
      <c r="D41"/>
      <c r="E41"/>
      <c r="F41"/>
      <c r="G41"/>
      <c r="H41"/>
      <c r="I41"/>
      <c r="J41"/>
      <c r="K41"/>
      <c r="L41"/>
      <c r="M41"/>
    </row>
    <row r="42" spans="1:13" x14ac:dyDescent="0.35">
      <c r="A42" t="s">
        <v>78</v>
      </c>
    </row>
    <row r="44" spans="1:13" x14ac:dyDescent="0.35">
      <c r="A44" t="s">
        <v>1</v>
      </c>
      <c r="C44">
        <f t="shared" ref="C44:H44" si="1">C23</f>
        <v>0</v>
      </c>
      <c r="D44">
        <f t="shared" si="1"/>
        <v>1</v>
      </c>
      <c r="E44">
        <f t="shared" si="1"/>
        <v>2</v>
      </c>
      <c r="F44">
        <f t="shared" si="1"/>
        <v>3</v>
      </c>
      <c r="G44">
        <f t="shared" si="1"/>
        <v>4</v>
      </c>
      <c r="H44">
        <f t="shared" si="1"/>
        <v>5</v>
      </c>
    </row>
    <row r="45" spans="1:13" x14ac:dyDescent="0.35">
      <c r="A45" t="s">
        <v>29</v>
      </c>
      <c r="C45" s="3">
        <f>-CapEx</f>
        <v>-1050000</v>
      </c>
      <c r="D45" s="3"/>
      <c r="E45" s="3"/>
      <c r="F45" s="3"/>
      <c r="G45" s="3"/>
      <c r="H45" s="3">
        <f>Sal</f>
        <v>300000</v>
      </c>
    </row>
    <row r="46" spans="1:13" x14ac:dyDescent="0.35">
      <c r="A46" t="s">
        <v>28</v>
      </c>
      <c r="C46" s="3"/>
      <c r="D46" s="3">
        <f>D40</f>
        <v>240937.5</v>
      </c>
      <c r="E46" s="3">
        <f>E40</f>
        <v>287578.125</v>
      </c>
      <c r="F46" s="3">
        <f>F40</f>
        <v>280277.34375</v>
      </c>
      <c r="G46" s="3">
        <f>G40</f>
        <v>278640.8203125</v>
      </c>
      <c r="H46" s="3">
        <f>H40</f>
        <v>278188.828125</v>
      </c>
    </row>
    <row r="47" spans="1:13" x14ac:dyDescent="0.35">
      <c r="A47" t="s">
        <v>30</v>
      </c>
      <c r="C47" s="32">
        <f>'NWC Schedule'!C11</f>
        <v>-125000</v>
      </c>
      <c r="D47" s="32">
        <f>'NWC Schedule'!D11</f>
        <v>-10000</v>
      </c>
      <c r="E47" s="32">
        <f>'NWC Schedule'!E11</f>
        <v>-6750</v>
      </c>
      <c r="F47" s="32">
        <f>'NWC Schedule'!F11</f>
        <v>-7087.5</v>
      </c>
      <c r="G47" s="32">
        <f>'NWC Schedule'!G11</f>
        <v>-7441.875</v>
      </c>
      <c r="H47" s="32">
        <f>'NWC Schedule'!H11</f>
        <v>156279.375</v>
      </c>
    </row>
    <row r="48" spans="1:13" s="1" customFormat="1" x14ac:dyDescent="0.35">
      <c r="A48" t="s">
        <v>31</v>
      </c>
      <c r="B48"/>
      <c r="C48" s="17">
        <f t="shared" ref="C48:H48" si="2">SUM(C45:C47)</f>
        <v>-1175000</v>
      </c>
      <c r="D48" s="17">
        <f t="shared" si="2"/>
        <v>230937.5</v>
      </c>
      <c r="E48" s="17">
        <f t="shared" si="2"/>
        <v>280828.125</v>
      </c>
      <c r="F48" s="17">
        <f t="shared" si="2"/>
        <v>273189.84375</v>
      </c>
      <c r="G48" s="17">
        <f t="shared" si="2"/>
        <v>271198.9453125</v>
      </c>
      <c r="H48" s="17">
        <f t="shared" si="2"/>
        <v>734468.203125</v>
      </c>
      <c r="I48"/>
      <c r="J48"/>
      <c r="K48"/>
      <c r="L48"/>
      <c r="M48"/>
    </row>
    <row r="49" spans="1:13" s="1" customFormat="1" x14ac:dyDescent="0.35">
      <c r="A49" t="s">
        <v>87</v>
      </c>
      <c r="B49"/>
      <c r="C49" s="17">
        <f>SUM($C$48:C48)</f>
        <v>-1175000</v>
      </c>
      <c r="D49" s="17">
        <f>SUM($C$48:D48)</f>
        <v>-944062.5</v>
      </c>
      <c r="E49" s="17">
        <f>SUM($C$48:E48)</f>
        <v>-663234.375</v>
      </c>
      <c r="F49" s="17">
        <f>SUM($C$48:F48)</f>
        <v>-390044.53125</v>
      </c>
      <c r="G49" s="17">
        <f>SUM($C$48:G48)</f>
        <v>-118845.5859375</v>
      </c>
      <c r="H49" s="17">
        <f>SUM($C$48:H48)</f>
        <v>615622.6171875</v>
      </c>
      <c r="I49"/>
      <c r="J49"/>
      <c r="K49"/>
      <c r="L49"/>
      <c r="M49"/>
    </row>
    <row r="50" spans="1:13" s="1" customFormat="1" x14ac:dyDescent="0.35">
      <c r="A50"/>
      <c r="B50"/>
      <c r="C50"/>
      <c r="D50" t="str">
        <f>IF(AND(C49&lt;0,D49&gt;0),C44+ABS(C49/D48),"")</f>
        <v/>
      </c>
      <c r="E50" t="str">
        <f>IF(AND(D49&lt;0,E49&gt;0),D44+ABS(D49/E48),"")</f>
        <v/>
      </c>
      <c r="F50" t="str">
        <f>IF(AND(E49&lt;0,F49&gt;0),E44+ABS(E49/F48),"")</f>
        <v/>
      </c>
      <c r="G50" t="str">
        <f>IF(AND(F49&lt;0,G49&gt;0),F44+ABS(F49/G48),"")</f>
        <v/>
      </c>
      <c r="H50" s="20">
        <f>IF(AND(G49&lt;0,H49&gt;0),G44+ABS(G49/H48),"")</f>
        <v>4.1618117509128894</v>
      </c>
      <c r="I50"/>
      <c r="J50"/>
      <c r="K50"/>
      <c r="L50"/>
      <c r="M50"/>
    </row>
    <row r="52" spans="1:13" x14ac:dyDescent="0.35">
      <c r="A52" t="s">
        <v>32</v>
      </c>
      <c r="C52" s="3">
        <f>NPV(rr, D48:H48)+C48</f>
        <v>-61992.236896013375</v>
      </c>
    </row>
    <row r="53" spans="1:13" x14ac:dyDescent="0.35">
      <c r="A53" t="s">
        <v>52</v>
      </c>
      <c r="C53" s="31">
        <f>IRR(C48:H48)</f>
        <v>0.13105476457530618</v>
      </c>
    </row>
    <row r="54" spans="1:13" x14ac:dyDescent="0.35">
      <c r="A54" t="s">
        <v>66</v>
      </c>
      <c r="C54" s="31">
        <f>MIRR(C48:H48,rr,rr)</f>
        <v>0.1376008443613328</v>
      </c>
    </row>
    <row r="55" spans="1:13" x14ac:dyDescent="0.35">
      <c r="A55" t="s">
        <v>67</v>
      </c>
      <c r="C55" s="24">
        <f>-NPV(rr,D48:H48)/C48</f>
        <v>0.94724064945020137</v>
      </c>
    </row>
    <row r="56" spans="1:13" x14ac:dyDescent="0.35">
      <c r="A56" t="s">
        <v>68</v>
      </c>
      <c r="C56" s="24" cm="1">
        <f t="array" ref="C56">IFERROR(
  (MATCH(TRUE, C49:H49&gt;=0, 0)-2) +
  ABS(INDEX(C49:H49, MATCH(TRUE, C49:H49&gt;=0, 0)-1)) /
      INDEX(C48:H48, MATCH(TRUE, C49:H49&gt;=0, 0)),
"No payback")</f>
        <v>4.1618117509128894</v>
      </c>
    </row>
    <row r="58" spans="1:13" x14ac:dyDescent="0.35">
      <c r="A58" s="1" t="s">
        <v>50</v>
      </c>
      <c r="C58" t="s">
        <v>65</v>
      </c>
    </row>
    <row r="59" spans="1:13" x14ac:dyDescent="0.35">
      <c r="B59" s="1"/>
      <c r="C59" s="1"/>
      <c r="F59" s="1"/>
      <c r="G59" s="1"/>
    </row>
    <row r="60" spans="1:13" ht="275.5" x14ac:dyDescent="0.35">
      <c r="B60" s="1"/>
      <c r="C60" s="33" t="s">
        <v>88</v>
      </c>
      <c r="E60" s="8"/>
      <c r="F60" s="7"/>
      <c r="G60" s="7"/>
    </row>
    <row r="61" spans="1:13" x14ac:dyDescent="0.35">
      <c r="B61" s="4"/>
      <c r="C61" s="5"/>
      <c r="E61" s="4"/>
      <c r="F61" s="5"/>
      <c r="G61" s="9"/>
    </row>
    <row r="124" spans="2:3" x14ac:dyDescent="0.35">
      <c r="B124" s="4"/>
      <c r="C124" s="5"/>
    </row>
    <row r="125" spans="2:3" x14ac:dyDescent="0.35">
      <c r="B125" s="4"/>
      <c r="C125" s="5"/>
    </row>
    <row r="126" spans="2:3" x14ac:dyDescent="0.35">
      <c r="B126" s="4"/>
      <c r="C126" s="5"/>
    </row>
    <row r="127" spans="2:3" x14ac:dyDescent="0.35">
      <c r="B127" s="4"/>
      <c r="C127" s="5"/>
    </row>
    <row r="128" spans="2:3" x14ac:dyDescent="0.35">
      <c r="B128" s="4"/>
      <c r="C128" s="5"/>
    </row>
    <row r="129" spans="2:3" x14ac:dyDescent="0.35">
      <c r="B129" s="4"/>
      <c r="C129" s="5"/>
    </row>
    <row r="130" spans="2:3" x14ac:dyDescent="0.35">
      <c r="B130" s="4"/>
      <c r="C130" s="5"/>
    </row>
    <row r="131" spans="2:3" x14ac:dyDescent="0.35">
      <c r="B131" s="4"/>
      <c r="C131" s="5"/>
    </row>
    <row r="132" spans="2:3" x14ac:dyDescent="0.35">
      <c r="B132" s="4"/>
      <c r="C132" s="5"/>
    </row>
    <row r="133" spans="2:3" x14ac:dyDescent="0.35">
      <c r="B133" s="4"/>
      <c r="C133" s="5"/>
    </row>
    <row r="134" spans="2:3" x14ac:dyDescent="0.35">
      <c r="B134" s="4"/>
      <c r="C134" s="5"/>
    </row>
    <row r="135" spans="2:3" x14ac:dyDescent="0.35">
      <c r="B135" s="4"/>
      <c r="C135" s="5"/>
    </row>
    <row r="136" spans="2:3" x14ac:dyDescent="0.35">
      <c r="B136" s="4"/>
      <c r="C136" s="5"/>
    </row>
    <row r="137" spans="2:3" x14ac:dyDescent="0.35">
      <c r="B137" s="4"/>
      <c r="C137" s="5"/>
    </row>
    <row r="138" spans="2:3" x14ac:dyDescent="0.35">
      <c r="B138" s="4"/>
      <c r="C138" s="5"/>
    </row>
    <row r="139" spans="2:3" x14ac:dyDescent="0.35">
      <c r="B139" s="4"/>
      <c r="C139" s="5"/>
    </row>
    <row r="140" spans="2:3" x14ac:dyDescent="0.35">
      <c r="B140" s="4"/>
      <c r="C140" s="5"/>
    </row>
    <row r="141" spans="2:3" x14ac:dyDescent="0.35">
      <c r="B141" s="4"/>
      <c r="C141" s="5"/>
    </row>
  </sheetData>
  <scenarios current="0" show="0" sqref="C50:C51">
    <scenario name="Base Case" locked="1" count="11" user="Faculty" comment="Created by Faculty on 3/4/2016">
      <inputCells r="C6" val="5"/>
      <inputCells r="C7" val="700000" numFmtId="3"/>
      <inputCells r="C8" val="150000" numFmtId="3"/>
      <inputCells r="C9" val="10000" numFmtId="3"/>
      <inputCells r="C10" val="0.05" numFmtId="9"/>
      <inputCells r="C11" val="90" numFmtId="2"/>
      <inputCells r="C12" val="60" numFmtId="2"/>
      <inputCells r="C13" val="40000" numFmtId="3"/>
      <inputCells r="C14" val="20000" numFmtId="3"/>
      <inputCells r="C16" val="0.35" numFmtId="9"/>
      <inputCells r="C18" val="0.15" numFmtId="9"/>
    </scenario>
    <scenario name="Best Case" locked="1" count="11" user="Faculty" comment="Created by Faculty on 3/4/2016">
      <inputCells r="C6" val="5"/>
      <inputCells r="C7" val="700000" numFmtId="164"/>
      <inputCells r="C8" val="150000" numFmtId="164"/>
      <inputCells r="C9" val="12000" numFmtId="3"/>
      <inputCells r="C10" val="0.08" numFmtId="9"/>
      <inputCells r="C11" val="92" numFmtId="164"/>
      <inputCells r="C12" val="59" numFmtId="165"/>
      <inputCells r="C13" val="40000" numFmtId="164"/>
      <inputCells r="C14" val="20000" numFmtId="164"/>
      <inputCells r="C16" val="0.35" numFmtId="9"/>
      <inputCells r="C18" val="0.14" numFmtId="9"/>
    </scenario>
    <scenario name="Worst Case" locked="1" count="11" user="Faculty" comment="Created by Faculty on 3/4/2016">
      <inputCells r="C6" val="5"/>
      <inputCells r="C7" val="700000" numFmtId="164"/>
      <inputCells r="C8" val="150000" numFmtId="164"/>
      <inputCells r="C9" val="8000" numFmtId="3"/>
      <inputCells r="C10" val="0.04" numFmtId="9"/>
      <inputCells r="C11" val="87" numFmtId="164"/>
      <inputCells r="C12" val="62" numFmtId="165"/>
      <inputCells r="C13" val="40000" numFmtId="164"/>
      <inputCells r="C14" val="20000" numFmtId="164"/>
      <inputCells r="C16" val="0.35" numFmtId="9"/>
      <inputCells r="C18" val="0.16" numFmtId="9"/>
    </scenario>
  </scenarios>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87B92EE90B9C4CA76B22E37BF9052D" ma:contentTypeVersion="5" ma:contentTypeDescription="Create a new document." ma:contentTypeScope="" ma:versionID="c522fdda0f667b2aa7885affb35ac462">
  <xsd:schema xmlns:xsd="http://www.w3.org/2001/XMLSchema" xmlns:xs="http://www.w3.org/2001/XMLSchema" xmlns:p="http://schemas.microsoft.com/office/2006/metadata/properties" xmlns:ns3="7bbc5219-3a7f-486a-af8f-43fae1737cf0" targetNamespace="http://schemas.microsoft.com/office/2006/metadata/properties" ma:root="true" ma:fieldsID="971a62a479910f1fb5676365afa9949a" ns3:_="">
    <xsd:import namespace="7bbc5219-3a7f-486a-af8f-43fae1737cf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c5219-3a7f-486a-af8f-43fae1737cf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73C3BF-B3D7-42C6-A488-880C45A5E4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bc5219-3a7f-486a-af8f-43fae1737c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23F098-1D4E-42CB-974F-1F35B0A762C4}">
  <ds:schemaRef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7bbc5219-3a7f-486a-af8f-43fae1737cf0"/>
    <ds:schemaRef ds:uri="http://schemas.openxmlformats.org/package/2006/metadata/core-properti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EC5B1906-F6B9-431D-9C1F-5C36C40340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Notes</vt:lpstr>
      <vt:lpstr>NPV Model</vt:lpstr>
      <vt:lpstr>NWC Schedule</vt:lpstr>
      <vt:lpstr>CCA Schedule</vt:lpstr>
      <vt:lpstr>Documentation </vt:lpstr>
      <vt:lpstr>Extra in case</vt:lpstr>
      <vt:lpstr>Add_back_Depreciation</vt:lpstr>
      <vt:lpstr>'NPV Model'!CapEx</vt:lpstr>
      <vt:lpstr>CapEx</vt:lpstr>
      <vt:lpstr>Capital_Spending____Salvage</vt:lpstr>
      <vt:lpstr>Cases</vt:lpstr>
      <vt:lpstr>Cum_Free_Cash_Flow</vt:lpstr>
      <vt:lpstr>'NPV Model'!d</vt:lpstr>
      <vt:lpstr>d</vt:lpstr>
      <vt:lpstr>'NPV Model'!FC</vt:lpstr>
      <vt:lpstr>FC</vt:lpstr>
      <vt:lpstr>Field_names</vt:lpstr>
      <vt:lpstr>'NPV Model'!FYS_Vol</vt:lpstr>
      <vt:lpstr>FYS_Vol</vt:lpstr>
      <vt:lpstr>'NPV Model'!GR</vt:lpstr>
      <vt:lpstr>GR</vt:lpstr>
      <vt:lpstr>Internal_Rate_of_Return</vt:lpstr>
      <vt:lpstr>Modified_Internal_Rate_of_Return</vt:lpstr>
      <vt:lpstr>'NPV Model'!N</vt:lpstr>
      <vt:lpstr>N</vt:lpstr>
      <vt:lpstr>Net_Present_Value</vt:lpstr>
      <vt:lpstr>NOPLAT</vt:lpstr>
      <vt:lpstr>NWC___Recapture</vt:lpstr>
      <vt:lpstr>'NPV Model'!NWC_0</vt:lpstr>
      <vt:lpstr>NWC_0</vt:lpstr>
      <vt:lpstr>'NPV Model'!NWC_to_Sales</vt:lpstr>
      <vt:lpstr>NWC_to_Sales</vt:lpstr>
      <vt:lpstr>Operating_Cash_Flow</vt:lpstr>
      <vt:lpstr>Payback_Period</vt:lpstr>
      <vt:lpstr>Profitability_Index</vt:lpstr>
      <vt:lpstr>'NPV Model'!Rev_unit</vt:lpstr>
      <vt:lpstr>Rev_unit</vt:lpstr>
      <vt:lpstr>'NPV Model'!rr</vt:lpstr>
      <vt:lpstr>rr</vt:lpstr>
      <vt:lpstr>'NPV Model'!Sal</vt:lpstr>
      <vt:lpstr>Sal</vt:lpstr>
      <vt:lpstr>Scenario</vt:lpstr>
      <vt:lpstr>Scenario_Table</vt:lpstr>
      <vt:lpstr>'NPV Model'!Tax_Rate</vt:lpstr>
      <vt:lpstr>Tax_Rate</vt:lpstr>
      <vt:lpstr>Total_Cash_Flow</vt:lpstr>
      <vt:lpstr>'NPV Model'!VC</vt:lpstr>
      <vt:lpstr>VC</vt:lpstr>
    </vt:vector>
  </TitlesOfParts>
  <Company>Ryerson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Inglis</dc:creator>
  <cp:lastModifiedBy>Talal Malhi</cp:lastModifiedBy>
  <cp:lastPrinted>2017-08-16T04:18:46Z</cp:lastPrinted>
  <dcterms:created xsi:type="dcterms:W3CDTF">2012-10-28T18:23:40Z</dcterms:created>
  <dcterms:modified xsi:type="dcterms:W3CDTF">2025-09-24T05:32:12Z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0x0101002E87B92EE90B9C4CA76B22E37BF9052D</vt:lpwstr>
  </property>
</Properties>
</file>