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https://d.docs.live.net/2ecf74c3676d6265/Desktop/all folder/financial freelance/"/>
    </mc:Choice>
  </mc:AlternateContent>
  <xr:revisionPtr revIDLastSave="1" documentId="11_983D3B799C0EE918BC9774282D77366E5AF1B51D" xr6:coauthVersionLast="47" xr6:coauthVersionMax="47" xr10:uidLastSave="{D3CEFBF7-C990-49E1-A752-0579DA84EF28}"/>
  <bookViews>
    <workbookView xWindow="-120" yWindow="-120" windowWidth="20730" windowHeight="11160" xr2:uid="{00000000-000D-0000-FFFF-FFFF00000000}"/>
  </bookViews>
  <sheets>
    <sheet name="TOC" sheetId="1" r:id="rId1"/>
    <sheet name="Profit and Loss Assumption" sheetId="2" r:id="rId2"/>
    <sheet name="BS Assumption " sheetId="3" r:id="rId3"/>
    <sheet name="PnL" sheetId="4" r:id="rId4"/>
    <sheet name="CF" sheetId="5" r:id="rId5"/>
    <sheet name="DCF" sheetId="6" r:id="rId6"/>
    <sheet name="BE" sheetId="7" r:id="rId7"/>
    <sheet name="Revenue vs EBIDTA" sheetId="8" r:id="rId8"/>
    <sheet name="BS" sheetId="9" r:id="rId9"/>
    <sheet name="DCF Results" sheetId="10" r:id="rId10"/>
    <sheet name="Source PnL" sheetId="11" r:id="rId11"/>
    <sheet name="Source BS" sheetId="12" r:id="rId12"/>
    <sheet name="Revenue &amp; Cost Model" sheetId="13" r:id="rId13"/>
    <sheet name="Debt Schedule" sheetId="14" r:id="rId14"/>
  </sheets>
  <calcPr calcId="191029"/>
  <extLst>
    <ext uri="GoogleSheetsCustomDataVersion2">
      <go:sheetsCustomData xmlns:go="http://customooxmlschemas.google.com/" r:id="rId18" roundtripDataChecksum="srzR66OdxMtgoMmgO9aNyPK7WvhlFbR6ULlfNwERAj4="/>
    </ext>
  </extLst>
</workbook>
</file>

<file path=xl/calcChain.xml><?xml version="1.0" encoding="utf-8"?>
<calcChain xmlns="http://schemas.openxmlformats.org/spreadsheetml/2006/main">
  <c r="M108" i="14" l="1"/>
  <c r="M107" i="14"/>
  <c r="M106" i="14"/>
  <c r="M105" i="14"/>
  <c r="M104" i="14"/>
  <c r="M103" i="14"/>
  <c r="M102" i="14"/>
  <c r="M101" i="14"/>
  <c r="M100" i="14"/>
  <c r="M99" i="14"/>
  <c r="M98" i="14"/>
  <c r="M97" i="14"/>
  <c r="M96" i="14"/>
  <c r="M95" i="14"/>
  <c r="M94" i="14"/>
  <c r="M93" i="14"/>
  <c r="M92" i="14"/>
  <c r="M91" i="14"/>
  <c r="M90" i="14"/>
  <c r="M89" i="14"/>
  <c r="M88" i="14"/>
  <c r="M87" i="14"/>
  <c r="M86" i="14"/>
  <c r="M85" i="14"/>
  <c r="M84" i="14"/>
  <c r="M83" i="14"/>
  <c r="M82" i="14"/>
  <c r="M81" i="14"/>
  <c r="M80" i="14"/>
  <c r="M79" i="14"/>
  <c r="M78" i="14"/>
  <c r="M77" i="14"/>
  <c r="M76" i="14"/>
  <c r="M75" i="14"/>
  <c r="M74" i="14"/>
  <c r="M73" i="14"/>
  <c r="M72" i="14"/>
  <c r="M71" i="14"/>
  <c r="M70" i="14"/>
  <c r="M69" i="14"/>
  <c r="M68" i="14"/>
  <c r="M67" i="14"/>
  <c r="M66" i="14"/>
  <c r="M65" i="14"/>
  <c r="M64" i="14"/>
  <c r="M63" i="14"/>
  <c r="M62" i="14"/>
  <c r="M61" i="14"/>
  <c r="M60" i="14"/>
  <c r="M59" i="14"/>
  <c r="M58" i="14"/>
  <c r="M57" i="14"/>
  <c r="M56" i="14"/>
  <c r="M55" i="14"/>
  <c r="M54" i="14"/>
  <c r="M53" i="14"/>
  <c r="M52" i="14"/>
  <c r="M51" i="14"/>
  <c r="M50" i="14"/>
  <c r="M49" i="14"/>
  <c r="M48" i="14"/>
  <c r="M47" i="14"/>
  <c r="M46" i="14"/>
  <c r="M45" i="14"/>
  <c r="M44" i="14"/>
  <c r="M43" i="14"/>
  <c r="M42" i="14"/>
  <c r="M41" i="14"/>
  <c r="M40" i="14"/>
  <c r="M39" i="14"/>
  <c r="M38" i="14"/>
  <c r="M37" i="14"/>
  <c r="M36" i="14"/>
  <c r="M35" i="14"/>
  <c r="M34" i="14"/>
  <c r="M33" i="14"/>
  <c r="M32" i="14"/>
  <c r="M31" i="14"/>
  <c r="M30" i="14"/>
  <c r="M29" i="14"/>
  <c r="M28" i="14"/>
  <c r="M27" i="14"/>
  <c r="M26" i="14"/>
  <c r="M25" i="14"/>
  <c r="M24" i="14"/>
  <c r="M23" i="14"/>
  <c r="M22" i="14"/>
  <c r="M21" i="14"/>
  <c r="M20" i="14"/>
  <c r="E20" i="14"/>
  <c r="M19" i="14"/>
  <c r="E19" i="14"/>
  <c r="M18" i="14"/>
  <c r="E18" i="14"/>
  <c r="M17" i="14"/>
  <c r="E17" i="14"/>
  <c r="M16" i="14"/>
  <c r="E16" i="14"/>
  <c r="M15" i="14"/>
  <c r="E15" i="14"/>
  <c r="M14" i="14"/>
  <c r="E14" i="14"/>
  <c r="M13" i="14"/>
  <c r="L13" i="14"/>
  <c r="N13" i="14" s="1"/>
  <c r="K14" i="14" s="1"/>
  <c r="K13" i="14"/>
  <c r="E13" i="14"/>
  <c r="D13" i="14"/>
  <c r="I13" i="13" s="1"/>
  <c r="D30" i="11" s="1"/>
  <c r="C13" i="14"/>
  <c r="K9" i="14"/>
  <c r="K7" i="14"/>
  <c r="N4" i="14"/>
  <c r="F4" i="14"/>
  <c r="C26" i="13"/>
  <c r="F24" i="13"/>
  <c r="C24" i="13"/>
  <c r="F22" i="13"/>
  <c r="E22" i="13"/>
  <c r="F16" i="13"/>
  <c r="I11" i="13"/>
  <c r="F11" i="13"/>
  <c r="F13" i="13" s="1"/>
  <c r="D12" i="11" s="1"/>
  <c r="D15" i="11" s="1"/>
  <c r="E11" i="13"/>
  <c r="C9" i="13"/>
  <c r="F7" i="13"/>
  <c r="F9" i="13" s="1"/>
  <c r="E7" i="13"/>
  <c r="K6" i="12"/>
  <c r="D26" i="11"/>
  <c r="B26" i="11"/>
  <c r="D25" i="11"/>
  <c r="B25" i="11"/>
  <c r="D24" i="11"/>
  <c r="B24" i="11"/>
  <c r="D23" i="11"/>
  <c r="B23" i="11"/>
  <c r="D22" i="11"/>
  <c r="B22" i="11"/>
  <c r="D21" i="11"/>
  <c r="B21" i="11"/>
  <c r="D20" i="11"/>
  <c r="B20" i="11"/>
  <c r="D14" i="11"/>
  <c r="D13" i="11"/>
  <c r="D8" i="11"/>
  <c r="B8" i="11"/>
  <c r="D7" i="11"/>
  <c r="D9" i="11" s="1"/>
  <c r="B7" i="11"/>
  <c r="D6" i="11"/>
  <c r="B6" i="11"/>
  <c r="R7" i="10"/>
  <c r="K7" i="10"/>
  <c r="D7" i="10"/>
  <c r="R6" i="10"/>
  <c r="K6" i="10"/>
  <c r="D6" i="10"/>
  <c r="R5" i="10"/>
  <c r="K5" i="10"/>
  <c r="D5" i="10"/>
  <c r="D28" i="9"/>
  <c r="E28" i="9" s="1"/>
  <c r="F28" i="9" s="1"/>
  <c r="G28" i="9" s="1"/>
  <c r="H28" i="9" s="1"/>
  <c r="I33" i="6"/>
  <c r="H33" i="6"/>
  <c r="G33" i="6"/>
  <c r="F33" i="6"/>
  <c r="I32" i="6"/>
  <c r="H32" i="6"/>
  <c r="G32" i="6"/>
  <c r="F32" i="6"/>
  <c r="I31" i="6"/>
  <c r="H31" i="6"/>
  <c r="G31" i="6"/>
  <c r="F31" i="6"/>
  <c r="I30" i="6"/>
  <c r="H30" i="6"/>
  <c r="G30" i="6"/>
  <c r="F30" i="6"/>
  <c r="D17" i="6"/>
  <c r="D16" i="6"/>
  <c r="G3" i="6"/>
  <c r="H3" i="6" s="1"/>
  <c r="F3" i="6"/>
  <c r="E3" i="6"/>
  <c r="D36" i="5"/>
  <c r="H30" i="5"/>
  <c r="G30" i="5"/>
  <c r="F30" i="5"/>
  <c r="E30" i="5"/>
  <c r="D30" i="5"/>
  <c r="H28" i="5"/>
  <c r="G28" i="5"/>
  <c r="F28" i="5"/>
  <c r="E28" i="5"/>
  <c r="D28" i="5"/>
  <c r="H27" i="5"/>
  <c r="G27" i="5"/>
  <c r="F27" i="5"/>
  <c r="E27" i="5"/>
  <c r="D27" i="5"/>
  <c r="B15" i="5"/>
  <c r="B14" i="5"/>
  <c r="B13" i="5"/>
  <c r="B37" i="4"/>
  <c r="B34" i="4"/>
  <c r="B32" i="4"/>
  <c r="B30" i="4"/>
  <c r="B28" i="4"/>
  <c r="B26" i="4"/>
  <c r="B25" i="4"/>
  <c r="B24" i="4"/>
  <c r="B23" i="4"/>
  <c r="B22" i="4"/>
  <c r="B21" i="4"/>
  <c r="B20" i="4"/>
  <c r="B19" i="4"/>
  <c r="B17" i="4"/>
  <c r="B15" i="4"/>
  <c r="B14" i="4"/>
  <c r="B13" i="4"/>
  <c r="B12" i="4"/>
  <c r="B11" i="4"/>
  <c r="B9" i="4"/>
  <c r="B8" i="4"/>
  <c r="B7" i="4"/>
  <c r="G7" i="4" s="1"/>
  <c r="B6" i="4"/>
  <c r="B5" i="4"/>
  <c r="H4" i="4"/>
  <c r="H5" i="8" s="1"/>
  <c r="G4" i="4"/>
  <c r="G5" i="8" s="1"/>
  <c r="F4" i="4"/>
  <c r="F5" i="8" s="1"/>
  <c r="E4" i="4"/>
  <c r="E5" i="8" s="1"/>
  <c r="D4" i="4"/>
  <c r="D5" i="8" s="1"/>
  <c r="D83" i="2"/>
  <c r="B83" i="2"/>
  <c r="H81" i="2"/>
  <c r="H78" i="2" s="1"/>
  <c r="G81" i="2"/>
  <c r="F81" i="2"/>
  <c r="E81" i="2"/>
  <c r="E78" i="2" s="1"/>
  <c r="D81" i="2"/>
  <c r="D78" i="2" s="1"/>
  <c r="H79" i="2"/>
  <c r="G79" i="2"/>
  <c r="F79" i="2"/>
  <c r="E79" i="2"/>
  <c r="D79" i="2"/>
  <c r="G78" i="2"/>
  <c r="F78" i="2"/>
  <c r="B77" i="2"/>
  <c r="H75" i="2"/>
  <c r="G75" i="2"/>
  <c r="F75" i="2"/>
  <c r="F72" i="2" s="1"/>
  <c r="E75" i="2"/>
  <c r="E72" i="2" s="1"/>
  <c r="D75" i="2"/>
  <c r="H73" i="2"/>
  <c r="G73" i="2"/>
  <c r="F73" i="2"/>
  <c r="E73" i="2"/>
  <c r="D73" i="2"/>
  <c r="H72" i="2"/>
  <c r="G72" i="2"/>
  <c r="D72" i="2"/>
  <c r="B71" i="2"/>
  <c r="H69" i="2"/>
  <c r="G69" i="2"/>
  <c r="G66" i="2" s="1"/>
  <c r="F69" i="2"/>
  <c r="F66" i="2" s="1"/>
  <c r="E69" i="2"/>
  <c r="D69" i="2"/>
  <c r="H67" i="2"/>
  <c r="G67" i="2"/>
  <c r="F67" i="2"/>
  <c r="E67" i="2"/>
  <c r="D67" i="2"/>
  <c r="H66" i="2"/>
  <c r="E66" i="2"/>
  <c r="D66" i="2"/>
  <c r="B65" i="2"/>
  <c r="H63" i="2"/>
  <c r="H60" i="2" s="1"/>
  <c r="G63" i="2"/>
  <c r="G60" i="2" s="1"/>
  <c r="F63" i="2"/>
  <c r="E63" i="2"/>
  <c r="D63" i="2"/>
  <c r="D60" i="2" s="1"/>
  <c r="H61" i="2"/>
  <c r="G61" i="2"/>
  <c r="F61" i="2"/>
  <c r="E61" i="2"/>
  <c r="D61" i="2"/>
  <c r="F60" i="2"/>
  <c r="E60" i="2"/>
  <c r="B59" i="2"/>
  <c r="H57" i="2"/>
  <c r="H54" i="2" s="1"/>
  <c r="G57" i="2"/>
  <c r="F57" i="2"/>
  <c r="E57" i="2"/>
  <c r="E54" i="2" s="1"/>
  <c r="D57" i="2"/>
  <c r="D54" i="2" s="1"/>
  <c r="H55" i="2"/>
  <c r="G55" i="2"/>
  <c r="F55" i="2"/>
  <c r="E55" i="2"/>
  <c r="D55" i="2"/>
  <c r="G54" i="2"/>
  <c r="F54" i="2"/>
  <c r="B53" i="2"/>
  <c r="H48" i="2"/>
  <c r="G48" i="2"/>
  <c r="F48" i="2"/>
  <c r="E48" i="2"/>
  <c r="D48" i="2"/>
  <c r="B47" i="2"/>
  <c r="H41" i="2"/>
  <c r="G41" i="2"/>
  <c r="F41" i="2"/>
  <c r="E41" i="2"/>
  <c r="E40" i="2" s="1"/>
  <c r="F40" i="2" s="1"/>
  <c r="G40" i="2" s="1"/>
  <c r="H40" i="2" s="1"/>
  <c r="D41" i="2"/>
  <c r="D40" i="2"/>
  <c r="B40" i="2"/>
  <c r="H35" i="2"/>
  <c r="G35" i="2"/>
  <c r="F35" i="2"/>
  <c r="E35" i="2"/>
  <c r="D35" i="2"/>
  <c r="E34" i="2"/>
  <c r="F34" i="2" s="1"/>
  <c r="G34" i="2" s="1"/>
  <c r="H34" i="2" s="1"/>
  <c r="D34" i="2"/>
  <c r="B34" i="2"/>
  <c r="H29" i="2"/>
  <c r="G29" i="2"/>
  <c r="F29" i="2"/>
  <c r="E29" i="2"/>
  <c r="D29" i="2"/>
  <c r="D28" i="2"/>
  <c r="E28" i="2" s="1"/>
  <c r="F28" i="2" s="1"/>
  <c r="G28" i="2" s="1"/>
  <c r="H28" i="2" s="1"/>
  <c r="B28" i="2"/>
  <c r="B27" i="2"/>
  <c r="H22" i="2"/>
  <c r="G22" i="2"/>
  <c r="F22" i="2"/>
  <c r="E22" i="2"/>
  <c r="D22" i="2"/>
  <c r="D21" i="2"/>
  <c r="E21" i="2" s="1"/>
  <c r="F21" i="2" s="1"/>
  <c r="G21" i="2" s="1"/>
  <c r="H21" i="2" s="1"/>
  <c r="B21" i="2"/>
  <c r="H16" i="2"/>
  <c r="G16" i="2"/>
  <c r="F16" i="2"/>
  <c r="E16" i="2"/>
  <c r="D16" i="2"/>
  <c r="F15" i="2"/>
  <c r="G15" i="2" s="1"/>
  <c r="H15" i="2" s="1"/>
  <c r="D15" i="2"/>
  <c r="E15" i="2" s="1"/>
  <c r="B15" i="2"/>
  <c r="H12" i="4" s="1"/>
  <c r="H10" i="2"/>
  <c r="G10" i="2"/>
  <c r="F10" i="2"/>
  <c r="E10" i="2"/>
  <c r="E9" i="2" s="1"/>
  <c r="D10" i="2"/>
  <c r="D9" i="2"/>
  <c r="B9" i="2"/>
  <c r="E8" i="2" l="1"/>
  <c r="E65" i="2" s="1"/>
  <c r="F9" i="2"/>
  <c r="E6" i="4"/>
  <c r="E71" i="2"/>
  <c r="F14" i="4"/>
  <c r="D8" i="2"/>
  <c r="F8" i="4"/>
  <c r="E14" i="4"/>
  <c r="H14" i="4"/>
  <c r="D14" i="4"/>
  <c r="E12" i="4"/>
  <c r="D59" i="2"/>
  <c r="D65" i="2"/>
  <c r="H8" i="4"/>
  <c r="E13" i="4"/>
  <c r="E59" i="2"/>
  <c r="E8" i="4"/>
  <c r="G12" i="4"/>
  <c r="F13" i="4"/>
  <c r="E23" i="4"/>
  <c r="E47" i="2"/>
  <c r="E53" i="2"/>
  <c r="E21" i="4" s="1"/>
  <c r="E77" i="2"/>
  <c r="E25" i="4" s="1"/>
  <c r="H7" i="4"/>
  <c r="D7" i="4"/>
  <c r="F7" i="4"/>
  <c r="E7" i="4"/>
  <c r="D12" i="4"/>
  <c r="G14" i="4"/>
  <c r="G13" i="4"/>
  <c r="G8" i="4"/>
  <c r="F12" i="4"/>
  <c r="F15" i="4" s="1"/>
  <c r="D13" i="4"/>
  <c r="H13" i="4"/>
  <c r="H15" i="4" s="1"/>
  <c r="D6" i="4"/>
  <c r="D8" i="4"/>
  <c r="D22" i="4"/>
  <c r="D30" i="4"/>
  <c r="D29" i="5" s="1"/>
  <c r="E12" i="12"/>
  <c r="E7" i="12"/>
  <c r="E23" i="11"/>
  <c r="D17" i="11"/>
  <c r="D28" i="11" s="1"/>
  <c r="D32" i="11" s="1"/>
  <c r="E24" i="11"/>
  <c r="E20" i="11"/>
  <c r="E6" i="12"/>
  <c r="E22" i="11"/>
  <c r="E21" i="11"/>
  <c r="E25" i="11"/>
  <c r="K10" i="12"/>
  <c r="E10" i="12"/>
  <c r="K9" i="12"/>
  <c r="L14" i="14"/>
  <c r="N14" i="14" s="1"/>
  <c r="K15" i="14" s="1"/>
  <c r="E20" i="4"/>
  <c r="E22" i="4"/>
  <c r="E24" i="4"/>
  <c r="D23" i="4"/>
  <c r="F26" i="13"/>
  <c r="F13" i="14"/>
  <c r="L15" i="14" l="1"/>
  <c r="N15" i="14" s="1"/>
  <c r="K16" i="14" s="1"/>
  <c r="K19" i="12"/>
  <c r="E15" i="3"/>
  <c r="F15" i="3"/>
  <c r="F14" i="3" s="1"/>
  <c r="F23" i="9" s="1"/>
  <c r="H15" i="3"/>
  <c r="H14" i="3" s="1"/>
  <c r="H23" i="9" s="1"/>
  <c r="G15" i="3"/>
  <c r="D15" i="3"/>
  <c r="G9" i="3"/>
  <c r="F9" i="3"/>
  <c r="H9" i="3"/>
  <c r="E9" i="3"/>
  <c r="D9" i="3"/>
  <c r="I9" i="3"/>
  <c r="D15" i="4"/>
  <c r="E15" i="4"/>
  <c r="E9" i="4"/>
  <c r="E26" i="4"/>
  <c r="G12" i="3"/>
  <c r="D13" i="5"/>
  <c r="H12" i="3"/>
  <c r="H11" i="3" s="1"/>
  <c r="H11" i="9" s="1"/>
  <c r="D12" i="3"/>
  <c r="D11" i="3" s="1"/>
  <c r="D11" i="9" s="1"/>
  <c r="E12" i="3"/>
  <c r="F12" i="3"/>
  <c r="F11" i="3" s="1"/>
  <c r="F11" i="9" s="1"/>
  <c r="D34" i="11"/>
  <c r="D36" i="11" s="1"/>
  <c r="D47" i="2"/>
  <c r="D20" i="4" s="1"/>
  <c r="D71" i="2"/>
  <c r="D24" i="4" s="1"/>
  <c r="D53" i="2"/>
  <c r="D21" i="4" s="1"/>
  <c r="G9" i="2"/>
  <c r="F6" i="4"/>
  <c r="F9" i="4" s="1"/>
  <c r="F8" i="2"/>
  <c r="F24" i="3"/>
  <c r="F23" i="3" s="1"/>
  <c r="F25" i="9" s="1"/>
  <c r="H24" i="3"/>
  <c r="H23" i="3" s="1"/>
  <c r="H25" i="9" s="1"/>
  <c r="D24" i="3"/>
  <c r="G24" i="3"/>
  <c r="E24" i="3"/>
  <c r="E19" i="12"/>
  <c r="H18" i="3"/>
  <c r="D18" i="3"/>
  <c r="G18" i="3"/>
  <c r="F18" i="3"/>
  <c r="E18" i="3"/>
  <c r="D9" i="4"/>
  <c r="G15" i="4"/>
  <c r="C14" i="14"/>
  <c r="D20" i="9"/>
  <c r="H21" i="3"/>
  <c r="F21" i="3"/>
  <c r="E21" i="3"/>
  <c r="G21" i="3"/>
  <c r="D21" i="3"/>
  <c r="D77" i="2"/>
  <c r="D25" i="4" s="1"/>
  <c r="N16" i="14" l="1"/>
  <c r="K17" i="14" s="1"/>
  <c r="L16" i="14"/>
  <c r="D6" i="8"/>
  <c r="D17" i="4"/>
  <c r="D17" i="3"/>
  <c r="D7" i="9" s="1"/>
  <c r="D20" i="3"/>
  <c r="D8" i="9" s="1"/>
  <c r="F8" i="3"/>
  <c r="F13" i="9" s="1"/>
  <c r="G14" i="3"/>
  <c r="G23" i="9" s="1"/>
  <c r="G15" i="5" s="1"/>
  <c r="E21" i="12"/>
  <c r="F47" i="2"/>
  <c r="F20" i="4" s="1"/>
  <c r="F59" i="2"/>
  <c r="F22" i="4" s="1"/>
  <c r="F65" i="2"/>
  <c r="F23" i="4" s="1"/>
  <c r="F53" i="2"/>
  <c r="F21" i="4" s="1"/>
  <c r="F77" i="2"/>
  <c r="F25" i="4" s="1"/>
  <c r="F71" i="2"/>
  <c r="F24" i="4" s="1"/>
  <c r="E17" i="4"/>
  <c r="E28" i="4" s="1"/>
  <c r="E6" i="8"/>
  <c r="E17" i="3"/>
  <c r="E7" i="9" s="1"/>
  <c r="E20" i="3"/>
  <c r="E8" i="9" s="1"/>
  <c r="D8" i="3"/>
  <c r="D13" i="9" s="1"/>
  <c r="H15" i="5"/>
  <c r="F14" i="14"/>
  <c r="D14" i="14"/>
  <c r="E83" i="2" s="1"/>
  <c r="E30" i="4" s="1"/>
  <c r="E29" i="5" s="1"/>
  <c r="D26" i="4"/>
  <c r="E23" i="3"/>
  <c r="E25" i="9" s="1"/>
  <c r="E25" i="5" s="1"/>
  <c r="E32" i="5" s="1"/>
  <c r="E8" i="3"/>
  <c r="E13" i="9" s="1"/>
  <c r="F14" i="5" s="1"/>
  <c r="F17" i="4"/>
  <c r="F20" i="3"/>
  <c r="F8" i="9" s="1"/>
  <c r="F6" i="8"/>
  <c r="F17" i="3"/>
  <c r="F7" i="9" s="1"/>
  <c r="G23" i="3"/>
  <c r="G25" i="9" s="1"/>
  <c r="G25" i="5" s="1"/>
  <c r="H9" i="2"/>
  <c r="G8" i="2"/>
  <c r="G6" i="4"/>
  <c r="G9" i="4" s="1"/>
  <c r="E11" i="3"/>
  <c r="E11" i="9" s="1"/>
  <c r="F13" i="5" s="1"/>
  <c r="G11" i="3"/>
  <c r="G11" i="9" s="1"/>
  <c r="H13" i="5" s="1"/>
  <c r="D23" i="3"/>
  <c r="D25" i="9" s="1"/>
  <c r="D25" i="5" s="1"/>
  <c r="D32" i="5" s="1"/>
  <c r="D14" i="3"/>
  <c r="D23" i="9" s="1"/>
  <c r="D15" i="5" s="1"/>
  <c r="E14" i="3"/>
  <c r="E23" i="9" s="1"/>
  <c r="E15" i="5" s="1"/>
  <c r="G77" i="2" l="1"/>
  <c r="G25" i="4" s="1"/>
  <c r="G59" i="2"/>
  <c r="G22" i="4" s="1"/>
  <c r="G53" i="2"/>
  <c r="G21" i="4" s="1"/>
  <c r="G47" i="2"/>
  <c r="G20" i="4" s="1"/>
  <c r="G71" i="2"/>
  <c r="G24" i="4" s="1"/>
  <c r="G65" i="2"/>
  <c r="G23" i="4" s="1"/>
  <c r="E14" i="5"/>
  <c r="D14" i="5"/>
  <c r="E32" i="4"/>
  <c r="E7" i="8"/>
  <c r="E21" i="5"/>
  <c r="D21" i="5"/>
  <c r="C15" i="14"/>
  <c r="E20" i="9"/>
  <c r="F21" i="5"/>
  <c r="E20" i="5"/>
  <c r="E23" i="5" s="1"/>
  <c r="D20" i="5"/>
  <c r="D23" i="5" s="1"/>
  <c r="L17" i="14"/>
  <c r="N17" i="14" s="1"/>
  <c r="K18" i="14" s="1"/>
  <c r="H8" i="2"/>
  <c r="H6" i="4"/>
  <c r="H9" i="4" s="1"/>
  <c r="G13" i="5"/>
  <c r="F20" i="5"/>
  <c r="F23" i="5" s="1"/>
  <c r="F26" i="4"/>
  <c r="F28" i="4" s="1"/>
  <c r="G14" i="5"/>
  <c r="D28" i="4"/>
  <c r="H25" i="5"/>
  <c r="G6" i="8"/>
  <c r="G17" i="4"/>
  <c r="G20" i="3"/>
  <c r="G8" i="9" s="1"/>
  <c r="G21" i="5" s="1"/>
  <c r="G17" i="3"/>
  <c r="G7" i="9" s="1"/>
  <c r="G20" i="5"/>
  <c r="F15" i="5"/>
  <c r="G8" i="3"/>
  <c r="G13" i="9" s="1"/>
  <c r="E13" i="5"/>
  <c r="F25" i="5"/>
  <c r="F7" i="8" l="1"/>
  <c r="N18" i="14"/>
  <c r="K19" i="14" s="1"/>
  <c r="L18" i="14"/>
  <c r="E34" i="4"/>
  <c r="G26" i="4"/>
  <c r="H6" i="8"/>
  <c r="H17" i="3"/>
  <c r="H7" i="9" s="1"/>
  <c r="H17" i="4"/>
  <c r="H20" i="3"/>
  <c r="H8" i="9" s="1"/>
  <c r="H8" i="3"/>
  <c r="H13" i="9" s="1"/>
  <c r="H14" i="5" s="1"/>
  <c r="D32" i="4"/>
  <c r="D7" i="8"/>
  <c r="H47" i="2"/>
  <c r="H20" i="4" s="1"/>
  <c r="H77" i="2"/>
  <c r="H25" i="4" s="1"/>
  <c r="H53" i="2"/>
  <c r="H21" i="4" s="1"/>
  <c r="H71" i="2"/>
  <c r="H24" i="4" s="1"/>
  <c r="H59" i="2"/>
  <c r="H22" i="4" s="1"/>
  <c r="H65" i="2"/>
  <c r="H23" i="4" s="1"/>
  <c r="F15" i="14"/>
  <c r="D15" i="14"/>
  <c r="F83" i="2" s="1"/>
  <c r="F30" i="4" s="1"/>
  <c r="F29" i="5" s="1"/>
  <c r="F32" i="5" s="1"/>
  <c r="H21" i="5"/>
  <c r="G28" i="4"/>
  <c r="G23" i="5"/>
  <c r="G7" i="8" l="1"/>
  <c r="C16" i="14"/>
  <c r="F20" i="9"/>
  <c r="D37" i="4"/>
  <c r="D34" i="4"/>
  <c r="L19" i="14"/>
  <c r="N19" i="14" s="1"/>
  <c r="K20" i="14" s="1"/>
  <c r="E6" i="5"/>
  <c r="E16" i="5" s="1"/>
  <c r="F32" i="4"/>
  <c r="H26" i="4"/>
  <c r="H28" i="4" s="1"/>
  <c r="H20" i="5"/>
  <c r="H23" i="5" s="1"/>
  <c r="E37" i="4"/>
  <c r="L20" i="14" l="1"/>
  <c r="N20" i="14" s="1"/>
  <c r="K21" i="14" s="1"/>
  <c r="H7" i="8"/>
  <c r="E30" i="9"/>
  <c r="E8" i="8"/>
  <c r="E9" i="8" s="1"/>
  <c r="E5" i="5"/>
  <c r="E7" i="5" s="1"/>
  <c r="E11" i="5" s="1"/>
  <c r="E18" i="5" s="1"/>
  <c r="E34" i="5" s="1"/>
  <c r="D16" i="14"/>
  <c r="G83" i="2" s="1"/>
  <c r="G30" i="4" s="1"/>
  <c r="D24" i="9"/>
  <c r="D6" i="5"/>
  <c r="D16" i="5" s="1"/>
  <c r="F34" i="4"/>
  <c r="F37" i="4"/>
  <c r="D30" i="9"/>
  <c r="E29" i="9" s="1"/>
  <c r="F29" i="9" s="1"/>
  <c r="D5" i="5"/>
  <c r="D7" i="5" s="1"/>
  <c r="D11" i="5" s="1"/>
  <c r="D18" i="5" s="1"/>
  <c r="D34" i="5" s="1"/>
  <c r="D8" i="8"/>
  <c r="D9" i="8" s="1"/>
  <c r="L21" i="14" l="1"/>
  <c r="N21" i="14" s="1"/>
  <c r="K22" i="14" s="1"/>
  <c r="D37" i="5"/>
  <c r="D12" i="9"/>
  <c r="D5" i="6"/>
  <c r="D7" i="6" s="1"/>
  <c r="E5" i="6"/>
  <c r="E7" i="6" s="1"/>
  <c r="G29" i="5"/>
  <c r="G32" i="5" s="1"/>
  <c r="G32" i="4"/>
  <c r="D33" i="9"/>
  <c r="E24" i="9"/>
  <c r="E33" i="9" s="1"/>
  <c r="F30" i="9"/>
  <c r="G29" i="9" s="1"/>
  <c r="F8" i="8"/>
  <c r="F9" i="8" s="1"/>
  <c r="F5" i="5"/>
  <c r="F24" i="9"/>
  <c r="F6" i="5"/>
  <c r="F16" i="5" s="1"/>
  <c r="F16" i="14"/>
  <c r="N22" i="14" l="1"/>
  <c r="K23" i="14" s="1"/>
  <c r="L22" i="14"/>
  <c r="G34" i="4"/>
  <c r="G37" i="4"/>
  <c r="F33" i="9"/>
  <c r="E12" i="9"/>
  <c r="D15" i="9"/>
  <c r="D35" i="9" s="1"/>
  <c r="D39" i="5"/>
  <c r="E36" i="5"/>
  <c r="E37" i="5" s="1"/>
  <c r="F7" i="5"/>
  <c r="F11" i="5" s="1"/>
  <c r="F18" i="5" s="1"/>
  <c r="F34" i="5" s="1"/>
  <c r="C17" i="14"/>
  <c r="G20" i="9"/>
  <c r="F36" i="5" l="1"/>
  <c r="F37" i="5" s="1"/>
  <c r="E39" i="5"/>
  <c r="F12" i="9"/>
  <c r="E15" i="9"/>
  <c r="E35" i="9" s="1"/>
  <c r="G6" i="5"/>
  <c r="G16" i="5" s="1"/>
  <c r="G24" i="9"/>
  <c r="F5" i="6"/>
  <c r="F7" i="6" s="1"/>
  <c r="G33" i="9"/>
  <c r="D17" i="14"/>
  <c r="H83" i="2" s="1"/>
  <c r="H30" i="4" s="1"/>
  <c r="G30" i="9"/>
  <c r="H29" i="9" s="1"/>
  <c r="G5" i="5"/>
  <c r="G8" i="8"/>
  <c r="G9" i="8" s="1"/>
  <c r="L23" i="14"/>
  <c r="N23" i="14" s="1"/>
  <c r="K24" i="14" s="1"/>
  <c r="L24" i="14" l="1"/>
  <c r="N24" i="14" s="1"/>
  <c r="K25" i="14" s="1"/>
  <c r="F39" i="5"/>
  <c r="G36" i="5"/>
  <c r="H29" i="5"/>
  <c r="H32" i="5" s="1"/>
  <c r="H32" i="4"/>
  <c r="G12" i="9"/>
  <c r="F15" i="9"/>
  <c r="F35" i="9" s="1"/>
  <c r="G7" i="5"/>
  <c r="G11" i="5" s="1"/>
  <c r="G18" i="5" s="1"/>
  <c r="G34" i="5" s="1"/>
  <c r="F17" i="14"/>
  <c r="L25" i="14" l="1"/>
  <c r="N25" i="14" s="1"/>
  <c r="K26" i="14" s="1"/>
  <c r="C18" i="14"/>
  <c r="H20" i="9"/>
  <c r="G15" i="9"/>
  <c r="G35" i="9" s="1"/>
  <c r="G5" i="6"/>
  <c r="G7" i="6" s="1"/>
  <c r="G37" i="5"/>
  <c r="H37" i="4"/>
  <c r="H34" i="4"/>
  <c r="N26" i="14" l="1"/>
  <c r="K27" i="14" s="1"/>
  <c r="L26" i="14"/>
  <c r="H30" i="9"/>
  <c r="H5" i="5"/>
  <c r="H8" i="8"/>
  <c r="H9" i="8" s="1"/>
  <c r="G39" i="5"/>
  <c r="H36" i="5"/>
  <c r="D18" i="14"/>
  <c r="F18" i="14" s="1"/>
  <c r="C19" i="14" s="1"/>
  <c r="H24" i="9"/>
  <c r="H33" i="9" s="1"/>
  <c r="H6" i="5"/>
  <c r="H16" i="5" s="1"/>
  <c r="D19" i="14" l="1"/>
  <c r="F19" i="14" s="1"/>
  <c r="C20" i="14" s="1"/>
  <c r="L27" i="14"/>
  <c r="N27" i="14" s="1"/>
  <c r="K28" i="14" s="1"/>
  <c r="H7" i="5"/>
  <c r="H11" i="5" s="1"/>
  <c r="H18" i="5" s="1"/>
  <c r="H34" i="5" s="1"/>
  <c r="F20" i="14" l="1"/>
  <c r="D20" i="14"/>
  <c r="L28" i="14"/>
  <c r="N28" i="14" s="1"/>
  <c r="K29" i="14" s="1"/>
  <c r="H37" i="5"/>
  <c r="H5" i="6"/>
  <c r="H7" i="6" s="1"/>
  <c r="H12" i="9"/>
  <c r="H15" i="9" s="1"/>
  <c r="H35" i="9" s="1"/>
  <c r="L29" i="14" l="1"/>
  <c r="N29" i="14" s="1"/>
  <c r="K30" i="14" s="1"/>
  <c r="H39" i="5"/>
  <c r="D14" i="6"/>
  <c r="D13" i="6"/>
  <c r="N30" i="14" l="1"/>
  <c r="K31" i="14" s="1"/>
  <c r="L30" i="14"/>
  <c r="D15" i="6"/>
  <c r="D18" i="6" s="1"/>
  <c r="N31" i="14" l="1"/>
  <c r="K32" i="14" s="1"/>
  <c r="L31" i="14"/>
  <c r="E13" i="6"/>
  <c r="D21" i="6"/>
  <c r="E18" i="6"/>
  <c r="E23" i="6"/>
  <c r="E29" i="6" s="1"/>
  <c r="E14" i="6"/>
  <c r="L32" i="14" l="1"/>
  <c r="N32" i="14"/>
  <c r="K33" i="14" s="1"/>
  <c r="L33" i="14" l="1"/>
  <c r="N33" i="14"/>
  <c r="K34" i="14" s="1"/>
  <c r="L34" i="14" l="1"/>
  <c r="N34" i="14" s="1"/>
  <c r="K35" i="14" s="1"/>
  <c r="N35" i="14" l="1"/>
  <c r="K36" i="14" s="1"/>
  <c r="L35" i="14"/>
  <c r="L36" i="14" l="1"/>
  <c r="N36" i="14" s="1"/>
  <c r="K37" i="14" s="1"/>
  <c r="L37" i="14" l="1"/>
  <c r="N37" i="14" s="1"/>
  <c r="K38" i="14" s="1"/>
  <c r="L38" i="14" l="1"/>
  <c r="N38" i="14" s="1"/>
  <c r="K39" i="14" s="1"/>
  <c r="L39" i="14" l="1"/>
  <c r="N39" i="14" s="1"/>
  <c r="K40" i="14" s="1"/>
  <c r="L40" i="14" l="1"/>
  <c r="N40" i="14" s="1"/>
  <c r="K41" i="14" s="1"/>
  <c r="L41" i="14" l="1"/>
  <c r="N41" i="14" s="1"/>
  <c r="K42" i="14" s="1"/>
  <c r="L42" i="14" l="1"/>
  <c r="N42" i="14" s="1"/>
  <c r="K43" i="14" s="1"/>
  <c r="L43" i="14" l="1"/>
  <c r="N43" i="14" s="1"/>
  <c r="K44" i="14" s="1"/>
  <c r="L44" i="14" l="1"/>
  <c r="N44" i="14"/>
  <c r="K45" i="14" s="1"/>
  <c r="L45" i="14" l="1"/>
  <c r="N45" i="14"/>
  <c r="K46" i="14" s="1"/>
  <c r="N46" i="14" l="1"/>
  <c r="K47" i="14" s="1"/>
  <c r="L46" i="14"/>
  <c r="L47" i="14" l="1"/>
  <c r="N47" i="14" s="1"/>
  <c r="K48" i="14" s="1"/>
  <c r="L48" i="14" l="1"/>
  <c r="N48" i="14" s="1"/>
  <c r="K49" i="14" s="1"/>
  <c r="L49" i="14" l="1"/>
  <c r="N49" i="14" s="1"/>
  <c r="K50" i="14" s="1"/>
  <c r="N50" i="14" l="1"/>
  <c r="K51" i="14" s="1"/>
  <c r="L50" i="14"/>
  <c r="L51" i="14" l="1"/>
  <c r="N51" i="14" s="1"/>
  <c r="K52" i="14" s="1"/>
  <c r="L52" i="14" l="1"/>
  <c r="N52" i="14" s="1"/>
  <c r="K53" i="14" s="1"/>
  <c r="L53" i="14" l="1"/>
  <c r="N53" i="14" s="1"/>
  <c r="K54" i="14" s="1"/>
  <c r="L54" i="14" l="1"/>
  <c r="N54" i="14" s="1"/>
  <c r="K55" i="14" s="1"/>
  <c r="L55" i="14" l="1"/>
  <c r="N55" i="14" s="1"/>
  <c r="K56" i="14" s="1"/>
  <c r="L56" i="14" l="1"/>
  <c r="N56" i="14"/>
  <c r="K57" i="14" s="1"/>
  <c r="L57" i="14" l="1"/>
  <c r="N57" i="14"/>
  <c r="K58" i="14" s="1"/>
  <c r="L58" i="14" l="1"/>
  <c r="N58" i="14" s="1"/>
  <c r="K59" i="14" s="1"/>
  <c r="L59" i="14" l="1"/>
  <c r="N59" i="14" s="1"/>
  <c r="K60" i="14" s="1"/>
  <c r="L60" i="14" l="1"/>
  <c r="N60" i="14" s="1"/>
  <c r="K61" i="14" s="1"/>
  <c r="L61" i="14" l="1"/>
  <c r="N61" i="14" s="1"/>
  <c r="K62" i="14" s="1"/>
  <c r="L62" i="14" l="1"/>
  <c r="N62" i="14" s="1"/>
  <c r="K63" i="14" s="1"/>
  <c r="L63" i="14" l="1"/>
  <c r="N63" i="14" s="1"/>
  <c r="K64" i="14" s="1"/>
  <c r="L64" i="14" l="1"/>
  <c r="N64" i="14" s="1"/>
  <c r="K65" i="14" s="1"/>
  <c r="L65" i="14" l="1"/>
  <c r="N65" i="14" s="1"/>
  <c r="K66" i="14" s="1"/>
  <c r="L66" i="14" l="1"/>
  <c r="N66" i="14" s="1"/>
  <c r="K67" i="14" s="1"/>
  <c r="L67" i="14" l="1"/>
  <c r="N67" i="14" s="1"/>
  <c r="K68" i="14" s="1"/>
  <c r="L68" i="14" l="1"/>
  <c r="N68" i="14" s="1"/>
  <c r="K69" i="14" s="1"/>
  <c r="L69" i="14" l="1"/>
  <c r="N69" i="14" s="1"/>
  <c r="K70" i="14" s="1"/>
  <c r="L70" i="14" l="1"/>
  <c r="N70" i="14" s="1"/>
  <c r="K71" i="14" s="1"/>
  <c r="L71" i="14" l="1"/>
  <c r="N71" i="14" s="1"/>
  <c r="K72" i="14" s="1"/>
  <c r="L72" i="14" l="1"/>
  <c r="N72" i="14" s="1"/>
  <c r="K73" i="14" s="1"/>
  <c r="L73" i="14" l="1"/>
  <c r="N73" i="14" s="1"/>
  <c r="K74" i="14" s="1"/>
  <c r="N74" i="14" l="1"/>
  <c r="K75" i="14" s="1"/>
  <c r="L74" i="14"/>
  <c r="L75" i="14" l="1"/>
  <c r="N75" i="14" s="1"/>
  <c r="K76" i="14" s="1"/>
  <c r="L76" i="14" l="1"/>
  <c r="N76" i="14" s="1"/>
  <c r="K77" i="14" s="1"/>
  <c r="L77" i="14" l="1"/>
  <c r="N77" i="14" s="1"/>
  <c r="K78" i="14" s="1"/>
  <c r="L78" i="14" l="1"/>
  <c r="N78" i="14" s="1"/>
  <c r="K79" i="14" s="1"/>
  <c r="L79" i="14" l="1"/>
  <c r="N79" i="14" s="1"/>
  <c r="K80" i="14" s="1"/>
  <c r="L80" i="14" l="1"/>
  <c r="N80" i="14" s="1"/>
  <c r="K81" i="14" s="1"/>
  <c r="L81" i="14" l="1"/>
  <c r="N81" i="14" s="1"/>
  <c r="K82" i="14" s="1"/>
  <c r="L82" i="14" l="1"/>
  <c r="N82" i="14" s="1"/>
  <c r="K83" i="14" s="1"/>
  <c r="N83" i="14" l="1"/>
  <c r="K84" i="14" s="1"/>
  <c r="L83" i="14"/>
  <c r="L84" i="14" l="1"/>
  <c r="N84" i="14" s="1"/>
  <c r="K85" i="14" s="1"/>
  <c r="L85" i="14" l="1"/>
  <c r="N85" i="14" s="1"/>
  <c r="K86" i="14" s="1"/>
  <c r="L86" i="14" l="1"/>
  <c r="N86" i="14" s="1"/>
  <c r="K87" i="14" s="1"/>
  <c r="L87" i="14" l="1"/>
  <c r="N87" i="14" s="1"/>
  <c r="K88" i="14" s="1"/>
  <c r="L88" i="14" l="1"/>
  <c r="N88" i="14" s="1"/>
  <c r="K89" i="14" s="1"/>
  <c r="L89" i="14" l="1"/>
  <c r="N89" i="14" s="1"/>
  <c r="K90" i="14" s="1"/>
  <c r="L90" i="14" l="1"/>
  <c r="N90" i="14" s="1"/>
  <c r="K91" i="14" s="1"/>
  <c r="L91" i="14" l="1"/>
  <c r="N91" i="14" s="1"/>
  <c r="K92" i="14" s="1"/>
  <c r="L92" i="14" l="1"/>
  <c r="N92" i="14" s="1"/>
  <c r="K93" i="14" s="1"/>
  <c r="L93" i="14" l="1"/>
  <c r="N93" i="14" s="1"/>
  <c r="K94" i="14" s="1"/>
  <c r="L94" i="14" l="1"/>
  <c r="N94" i="14" s="1"/>
  <c r="K95" i="14" s="1"/>
  <c r="L95" i="14" l="1"/>
  <c r="N95" i="14" s="1"/>
  <c r="K96" i="14" s="1"/>
  <c r="L96" i="14" l="1"/>
  <c r="N96" i="14" s="1"/>
  <c r="K97" i="14" s="1"/>
  <c r="L97" i="14" l="1"/>
  <c r="N97" i="14" s="1"/>
  <c r="K98" i="14" s="1"/>
  <c r="L98" i="14" l="1"/>
  <c r="N98" i="14" s="1"/>
  <c r="K99" i="14" s="1"/>
  <c r="L99" i="14" l="1"/>
  <c r="N99" i="14" s="1"/>
  <c r="K100" i="14" s="1"/>
  <c r="L100" i="14" l="1"/>
  <c r="N100" i="14" s="1"/>
  <c r="K101" i="14" s="1"/>
  <c r="L101" i="14" l="1"/>
  <c r="N101" i="14" s="1"/>
  <c r="K102" i="14" s="1"/>
  <c r="L102" i="14" l="1"/>
  <c r="N102" i="14" s="1"/>
  <c r="K103" i="14" s="1"/>
  <c r="L103" i="14" l="1"/>
  <c r="N103" i="14" s="1"/>
  <c r="K104" i="14" s="1"/>
  <c r="L104" i="14" l="1"/>
  <c r="N104" i="14" s="1"/>
  <c r="K105" i="14" s="1"/>
  <c r="L105" i="14" l="1"/>
  <c r="N105" i="14" s="1"/>
  <c r="K106" i="14" s="1"/>
  <c r="L106" i="14" l="1"/>
  <c r="N106" i="14" s="1"/>
  <c r="K107" i="14" s="1"/>
  <c r="L107" i="14" l="1"/>
  <c r="N107" i="14" s="1"/>
  <c r="K108" i="14" s="1"/>
  <c r="L108" i="14" l="1"/>
  <c r="N108" i="14" s="1"/>
</calcChain>
</file>

<file path=xl/sharedStrings.xml><?xml version="1.0" encoding="utf-8"?>
<sst xmlns="http://schemas.openxmlformats.org/spreadsheetml/2006/main" count="312" uniqueCount="189">
  <si>
    <t>Financial Model</t>
  </si>
  <si>
    <t>Sheet Index</t>
  </si>
  <si>
    <t>Input</t>
  </si>
  <si>
    <t>Profit and Loss Assumptions</t>
  </si>
  <si>
    <t>BS Assumptions</t>
  </si>
  <si>
    <t>Output</t>
  </si>
  <si>
    <t>Profit and Loss Projected</t>
  </si>
  <si>
    <t>Balance Sheet Projected</t>
  </si>
  <si>
    <t>Cashflows Projected</t>
  </si>
  <si>
    <t>Discount Cashflows</t>
  </si>
  <si>
    <t>Breakeven Analysis</t>
  </si>
  <si>
    <t>Charts</t>
  </si>
  <si>
    <t>Revenue vs Ebidta vs Net Income</t>
  </si>
  <si>
    <t>DCF Results</t>
  </si>
  <si>
    <t>Source Data</t>
  </si>
  <si>
    <t>Source Profit and Loss</t>
  </si>
  <si>
    <t>Source Balance Sheet</t>
  </si>
  <si>
    <t>Revenue and Cost Model</t>
  </si>
  <si>
    <t>Debt Schedule</t>
  </si>
  <si>
    <t>1. Best Case Scenario</t>
  </si>
  <si>
    <t>Scenario</t>
  </si>
  <si>
    <t>2. Base Case Scenario</t>
  </si>
  <si>
    <t>3. Worst Case Scenario</t>
  </si>
  <si>
    <t>Year 1</t>
  </si>
  <si>
    <t>Year 2</t>
  </si>
  <si>
    <t>Year 3</t>
  </si>
  <si>
    <t>Year 4</t>
  </si>
  <si>
    <t>Year 5</t>
  </si>
  <si>
    <t>Revenue</t>
  </si>
  <si>
    <t>Y-o-Y growth</t>
  </si>
  <si>
    <t>Case 1</t>
  </si>
  <si>
    <t>Case 2</t>
  </si>
  <si>
    <t>Case 3</t>
  </si>
  <si>
    <t>Fixed Costs</t>
  </si>
  <si>
    <t>% of Revenue</t>
  </si>
  <si>
    <t>Balance Sheet Assumptions</t>
  </si>
  <si>
    <t>Trade Receivable</t>
  </si>
  <si>
    <t>Number of days</t>
  </si>
  <si>
    <t>Trade Receivable Days</t>
  </si>
  <si>
    <t>Receviable Closing Balance/Revenue *365</t>
  </si>
  <si>
    <t>Inventory</t>
  </si>
  <si>
    <t>Trade Payables</t>
  </si>
  <si>
    <t>Property Plant Equipment</t>
  </si>
  <si>
    <t>Intangible Assets</t>
  </si>
  <si>
    <t>Notes Payable</t>
  </si>
  <si>
    <t>% of Cost of Sales</t>
  </si>
  <si>
    <t>Profit and Loss Statement</t>
  </si>
  <si>
    <t>Accrual Basis</t>
  </si>
  <si>
    <t>Cash receipt</t>
  </si>
  <si>
    <t>Tax Rate</t>
  </si>
  <si>
    <t>Cashflows</t>
  </si>
  <si>
    <t>Net Profit</t>
  </si>
  <si>
    <t>Operating Taxes</t>
  </si>
  <si>
    <t>Profit Before Tax</t>
  </si>
  <si>
    <t>Add: Depreciation 
&amp; Amortization</t>
  </si>
  <si>
    <t>NOP</t>
  </si>
  <si>
    <t>Taxes Paid</t>
  </si>
  <si>
    <t>CF From Operations</t>
  </si>
  <si>
    <t>Change in PPE</t>
  </si>
  <si>
    <t>Change in Intangtibles</t>
  </si>
  <si>
    <t>CF From Investing</t>
  </si>
  <si>
    <t>Long term loans</t>
  </si>
  <si>
    <t>Change in Share Capital</t>
  </si>
  <si>
    <t>Dividend</t>
  </si>
  <si>
    <t>Interest Expense</t>
  </si>
  <si>
    <t>Repayment of Loan</t>
  </si>
  <si>
    <t>CF From Financing</t>
  </si>
  <si>
    <t>Net Cash Flow</t>
  </si>
  <si>
    <t>Opening Cash Balance</t>
  </si>
  <si>
    <t>Closing Cash Balance</t>
  </si>
  <si>
    <t>Check</t>
  </si>
  <si>
    <t>Discounted Cashflows</t>
  </si>
  <si>
    <t>Earning before interest</t>
  </si>
  <si>
    <t>Value day by day decrease</t>
  </si>
  <si>
    <t>Time value of money</t>
  </si>
  <si>
    <t>Present value of cash flows</t>
  </si>
  <si>
    <t>Because of interest/ inflation</t>
  </si>
  <si>
    <t>WACC</t>
  </si>
  <si>
    <t>Growth Rate</t>
  </si>
  <si>
    <t>Weighted Average Cost of Capital</t>
  </si>
  <si>
    <t xml:space="preserve"> interest payment</t>
  </si>
  <si>
    <t>DCF Valuation</t>
  </si>
  <si>
    <t>Cost of capital</t>
  </si>
  <si>
    <t>PV of Cashflows</t>
  </si>
  <si>
    <t>Cost of debt</t>
  </si>
  <si>
    <t>Terminal Value</t>
  </si>
  <si>
    <t>KIBOR</t>
  </si>
  <si>
    <t>Enterprise Value</t>
  </si>
  <si>
    <t>Less: Debt/ financial liabilites</t>
  </si>
  <si>
    <t>Add: Cash Inject</t>
  </si>
  <si>
    <t>Equity Value</t>
  </si>
  <si>
    <t>Shares</t>
  </si>
  <si>
    <t>Share market price</t>
  </si>
  <si>
    <t/>
  </si>
  <si>
    <t xml:space="preserve">Fixed Cost + variable = Sales </t>
  </si>
  <si>
    <t>Costs= Sales</t>
  </si>
  <si>
    <t>Profit= Loss = 0</t>
  </si>
  <si>
    <t>Profit</t>
  </si>
  <si>
    <t>EBIDTA Revenue Net profit</t>
  </si>
  <si>
    <t>EBITDA</t>
  </si>
  <si>
    <t>Net Profit %</t>
  </si>
  <si>
    <t>Balance Sheet</t>
  </si>
  <si>
    <t>Assets</t>
  </si>
  <si>
    <t>Non Current Assets</t>
  </si>
  <si>
    <t>Property Plant and Equipment</t>
  </si>
  <si>
    <t>Current Assets</t>
  </si>
  <si>
    <t>Cash Balance</t>
  </si>
  <si>
    <t>Trade Receivables</t>
  </si>
  <si>
    <t>Total Assets</t>
  </si>
  <si>
    <t>Liabilities</t>
  </si>
  <si>
    <t>Non Current Liabilites</t>
  </si>
  <si>
    <t>Long Term Loans</t>
  </si>
  <si>
    <t>Current Liabilities</t>
  </si>
  <si>
    <t>Trade Payable</t>
  </si>
  <si>
    <t>Income Tax Payable</t>
  </si>
  <si>
    <t>Note Payables</t>
  </si>
  <si>
    <t>Equity</t>
  </si>
  <si>
    <t>Share Capital</t>
  </si>
  <si>
    <t>Flat</t>
  </si>
  <si>
    <t>Retained Earnings</t>
  </si>
  <si>
    <t>Profit for the Year</t>
  </si>
  <si>
    <t>Less: Dividend</t>
  </si>
  <si>
    <t>Total Equity and Liabilities</t>
  </si>
  <si>
    <t>Best Case</t>
  </si>
  <si>
    <t>$</t>
  </si>
  <si>
    <t>%</t>
  </si>
  <si>
    <t>Base Case</t>
  </si>
  <si>
    <t>Worst Case</t>
  </si>
  <si>
    <t>Continuing Value</t>
  </si>
  <si>
    <t>Profit and Loss - Source</t>
  </si>
  <si>
    <t>Total Revenue</t>
  </si>
  <si>
    <t>Less: Cost of Revenue</t>
  </si>
  <si>
    <t>C-Stream - 1</t>
  </si>
  <si>
    <t>C-Stream - 2</t>
  </si>
  <si>
    <t>C-Stream - 3</t>
  </si>
  <si>
    <t>Total Cost of Revenue</t>
  </si>
  <si>
    <t>Gross Revenue</t>
  </si>
  <si>
    <t>Less: Fixed Cost</t>
  </si>
  <si>
    <t>PBIT</t>
  </si>
  <si>
    <t>Profit Before Interest and Tax</t>
  </si>
  <si>
    <t>Interest Cost</t>
  </si>
  <si>
    <t>cy/LSy- 1</t>
  </si>
  <si>
    <t>PBT</t>
  </si>
  <si>
    <t>Tax</t>
  </si>
  <si>
    <t>PAT</t>
  </si>
  <si>
    <t>Profit After Tax</t>
  </si>
  <si>
    <t>Balance Sheet - Source</t>
  </si>
  <si>
    <t xml:space="preserve">Revenue </t>
  </si>
  <si>
    <t>Variable Cost</t>
  </si>
  <si>
    <t>Fixed Cost</t>
  </si>
  <si>
    <t>R-Stream - 1</t>
  </si>
  <si>
    <t>Food Delivery</t>
  </si>
  <si>
    <t>Platform</t>
  </si>
  <si>
    <t>Rental Cost</t>
  </si>
  <si>
    <t>No of Orders</t>
  </si>
  <si>
    <t>Employees Cost</t>
  </si>
  <si>
    <t>Delivery Fee (Rs)</t>
  </si>
  <si>
    <t>% to Rider</t>
  </si>
  <si>
    <t>Legal Cost</t>
  </si>
  <si>
    <t>Cost of Riders</t>
  </si>
  <si>
    <t>Office Expenses</t>
  </si>
  <si>
    <t>Misc Expenses</t>
  </si>
  <si>
    <t>Total Fixed Cost</t>
  </si>
  <si>
    <t>% to Restruant</t>
  </si>
  <si>
    <t>Cost of Restruant</t>
  </si>
  <si>
    <t>R-Stream - 2</t>
  </si>
  <si>
    <t>Taxation Expense</t>
  </si>
  <si>
    <t>Advertisments</t>
  </si>
  <si>
    <t>Cost of Advertisment</t>
  </si>
  <si>
    <t>R-Stream - 3</t>
  </si>
  <si>
    <t>Ecommerce</t>
  </si>
  <si>
    <t>No of orders</t>
  </si>
  <si>
    <t>Price per order</t>
  </si>
  <si>
    <t>Cost per order</t>
  </si>
  <si>
    <t>Total Cost</t>
  </si>
  <si>
    <t xml:space="preserve">Total Variable Cost </t>
  </si>
  <si>
    <t>Loan Amortization Schedule/ Loan Calculator</t>
  </si>
  <si>
    <t>Loan Amount</t>
  </si>
  <si>
    <t>Installment</t>
  </si>
  <si>
    <t>Term (years)</t>
  </si>
  <si>
    <t>Number of Months</t>
  </si>
  <si>
    <t>Interest Rate</t>
  </si>
  <si>
    <t>Date of Loan</t>
  </si>
  <si>
    <t>Monthly Interest</t>
  </si>
  <si>
    <t>Date of Repayment</t>
  </si>
  <si>
    <t>Opening Balance</t>
  </si>
  <si>
    <t>Interest</t>
  </si>
  <si>
    <t>Less: Installment</t>
  </si>
  <si>
    <t>Closing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</si>
</sst>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(* #,##0.00_);_(* \(#,##0.00\);_(* &quot;-&quot;??_);_(@_)"/>
    <numFmt numFmtId="165" formatCode="_(* #,##0_);_(* \(#,##0\);_(* &quot;-&quot;??_);_(@_)"/>
    <numFmt numFmtId="166" formatCode="#.##\ &quot;billion&quot;"/>
    <numFmt numFmtId="167" formatCode="#,,\ &quot;million&quot;"/>
    <numFmt numFmtId="168" formatCode="#,,\ &quot;miilion&quot;"/>
    <numFmt numFmtId="169" formatCode="&quot;$&quot;#,##0.00_);[Red]\(&quot;$&quot;#,##0.00\)"/>
    <numFmt numFmtId="170" formatCode="0.000%"/>
  </numFmts>
  <fonts count="8" x14ac:knownFonts="1">
    <font>
      <sz val="11"/>
      <color theme="1"/>
      <name val="Calibri"/>
      <scheme val="minor"/>
    </font>
    <font>
      <b/>
      <sz val="18"/>
      <color theme="1"/>
      <name val="Calibri"/>
    </font>
    <font>
      <sz val="11"/>
      <color theme="1"/>
      <name val="Calibri"/>
      <scheme val="minor"/>
    </font>
    <font>
      <b/>
      <sz val="11"/>
      <color theme="1"/>
      <name val="Calibri"/>
    </font>
    <font>
      <u/>
      <sz val="11"/>
      <color theme="10"/>
      <name val="Calibri"/>
    </font>
    <font>
      <sz val="11"/>
      <color theme="1"/>
      <name val="Calibri"/>
    </font>
    <font>
      <b/>
      <sz val="11"/>
      <color theme="0"/>
      <name val="Calibri"/>
    </font>
    <font>
      <sz val="11"/>
      <color theme="0"/>
      <name val="Calibri"/>
    </font>
  </fonts>
  <fills count="6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rgb="FF0C0C0C"/>
        <bgColor rgb="FF0C0C0C"/>
      </patternFill>
    </fill>
    <fill>
      <patternFill patternType="solid">
        <fgColor rgb="FF969696"/>
        <bgColor rgb="FF969696"/>
      </patternFill>
    </fill>
    <fill>
      <patternFill patternType="solid">
        <fgColor rgb="FFDDDDDD"/>
        <bgColor rgb="FFDDDDDD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9" fontId="5" fillId="0" borderId="0" xfId="0" applyNumberFormat="1" applyFont="1"/>
    <xf numFmtId="49" fontId="5" fillId="0" borderId="0" xfId="0" applyNumberFormat="1" applyFont="1"/>
    <xf numFmtId="0" fontId="6" fillId="2" borderId="1" xfId="0" applyFont="1" applyFill="1" applyBorder="1"/>
    <xf numFmtId="164" fontId="6" fillId="2" borderId="1" xfId="0" applyNumberFormat="1" applyFont="1" applyFill="1" applyBorder="1"/>
    <xf numFmtId="164" fontId="7" fillId="3" borderId="1" xfId="0" applyNumberFormat="1" applyFont="1" applyFill="1" applyBorder="1"/>
    <xf numFmtId="9" fontId="3" fillId="4" borderId="1" xfId="0" applyNumberFormat="1" applyFont="1" applyFill="1" applyBorder="1"/>
    <xf numFmtId="10" fontId="3" fillId="4" borderId="1" xfId="0" applyNumberFormat="1" applyFont="1" applyFill="1" applyBorder="1"/>
    <xf numFmtId="9" fontId="5" fillId="5" borderId="1" xfId="0" applyNumberFormat="1" applyFont="1" applyFill="1" applyBorder="1"/>
    <xf numFmtId="10" fontId="5" fillId="5" borderId="1" xfId="0" applyNumberFormat="1" applyFont="1" applyFill="1" applyBorder="1"/>
    <xf numFmtId="164" fontId="3" fillId="0" borderId="0" xfId="0" applyNumberFormat="1" applyFont="1"/>
    <xf numFmtId="10" fontId="5" fillId="0" borderId="0" xfId="0" applyNumberFormat="1" applyFont="1"/>
    <xf numFmtId="164" fontId="3" fillId="4" borderId="1" xfId="0" applyNumberFormat="1" applyFont="1" applyFill="1" applyBorder="1"/>
    <xf numFmtId="164" fontId="5" fillId="0" borderId="0" xfId="0" applyNumberFormat="1" applyFont="1"/>
    <xf numFmtId="164" fontId="5" fillId="5" borderId="1" xfId="0" applyNumberFormat="1" applyFont="1" applyFill="1" applyBorder="1"/>
    <xf numFmtId="164" fontId="5" fillId="4" borderId="1" xfId="0" applyNumberFormat="1" applyFont="1" applyFill="1" applyBorder="1"/>
    <xf numFmtId="0" fontId="5" fillId="0" borderId="0" xfId="0" applyFont="1" applyAlignment="1">
      <alignment wrapText="1"/>
    </xf>
    <xf numFmtId="0" fontId="5" fillId="0" borderId="0" xfId="0" applyFont="1"/>
    <xf numFmtId="9" fontId="3" fillId="0" borderId="0" xfId="0" applyNumberFormat="1" applyFont="1"/>
    <xf numFmtId="4" fontId="2" fillId="0" borderId="0" xfId="0" applyNumberFormat="1" applyFont="1"/>
    <xf numFmtId="165" fontId="5" fillId="0" borderId="0" xfId="0" applyNumberFormat="1" applyFont="1"/>
    <xf numFmtId="166" fontId="5" fillId="0" borderId="0" xfId="0" applyNumberFormat="1" applyFont="1"/>
    <xf numFmtId="0" fontId="5" fillId="0" borderId="0" xfId="0" quotePrefix="1" applyFont="1"/>
    <xf numFmtId="167" fontId="5" fillId="0" borderId="0" xfId="0" applyNumberFormat="1" applyFont="1"/>
    <xf numFmtId="10" fontId="3" fillId="0" borderId="0" xfId="0" applyNumberFormat="1" applyFont="1"/>
    <xf numFmtId="164" fontId="3" fillId="5" borderId="1" xfId="0" applyNumberFormat="1" applyFont="1" applyFill="1" applyBorder="1"/>
    <xf numFmtId="168" fontId="5" fillId="0" borderId="0" xfId="0" applyNumberFormat="1" applyFont="1"/>
    <xf numFmtId="165" fontId="3" fillId="0" borderId="0" xfId="0" applyNumberFormat="1" applyFont="1"/>
    <xf numFmtId="169" fontId="5" fillId="0" borderId="0" xfId="0" applyNumberFormat="1" applyFont="1"/>
    <xf numFmtId="15" fontId="5" fillId="0" borderId="0" xfId="0" applyNumberFormat="1" applyFont="1"/>
    <xf numFmtId="170" fontId="5" fillId="0" borderId="0" xfId="0" applyNumberFormat="1" applyFont="1"/>
    <xf numFmtId="0" fontId="5" fillId="0" borderId="0" xfId="0" applyFont="1" applyAlignment="1">
      <alignment horizontal="center"/>
    </xf>
    <xf numFmtId="0" fontId="0" fillId="0" borderId="0" xfId="0"/>
    <xf numFmtId="0" fontId="5" fillId="0" borderId="0" xfId="0" applyFont="1" applyAlignment="1">
      <alignment horizontal="center" textRotation="9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customschemas.google.com/relationships/workbookmetadata" Target="metadata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Revenue vs Ebidta vs Net Income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Revenue</c:v>
          </c:tx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'Revenue vs EBIDTA'!$C$5:$H$5</c:f>
              <c:strCache>
                <c:ptCount val="6"/>
                <c:pt idx="1">
                  <c:v>Year 1</c:v>
                </c:pt>
                <c:pt idx="2">
                  <c:v>Year 2</c:v>
                </c:pt>
                <c:pt idx="3">
                  <c:v>Year 3</c:v>
                </c:pt>
                <c:pt idx="4">
                  <c:v>Year 4</c:v>
                </c:pt>
                <c:pt idx="5">
                  <c:v>Year 5</c:v>
                </c:pt>
              </c:strCache>
            </c:strRef>
          </c:cat>
          <c:val>
            <c:numRef>
              <c:f>'Revenue vs EBIDTA'!$C$6:$H$6</c:f>
              <c:numCache>
                <c:formatCode>#,,\ "million"</c:formatCode>
                <c:ptCount val="6"/>
                <c:pt idx="1">
                  <c:v>170000000</c:v>
                </c:pt>
                <c:pt idx="2">
                  <c:v>178500000</c:v>
                </c:pt>
                <c:pt idx="3">
                  <c:v>187425000</c:v>
                </c:pt>
                <c:pt idx="4">
                  <c:v>196796250</c:v>
                </c:pt>
                <c:pt idx="5">
                  <c:v>206636062.5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8C81-4471-AB50-7AB64E78B336}"/>
            </c:ext>
          </c:extLst>
        </c:ser>
        <c:ser>
          <c:idx val="1"/>
          <c:order val="1"/>
          <c:tx>
            <c:v>EBITDA</c:v>
          </c:tx>
          <c:spPr>
            <a:solidFill>
              <a:srgbClr val="ED7D3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'Revenue vs EBIDTA'!$C$5:$H$5</c:f>
              <c:strCache>
                <c:ptCount val="6"/>
                <c:pt idx="1">
                  <c:v>Year 1</c:v>
                </c:pt>
                <c:pt idx="2">
                  <c:v>Year 2</c:v>
                </c:pt>
                <c:pt idx="3">
                  <c:v>Year 3</c:v>
                </c:pt>
                <c:pt idx="4">
                  <c:v>Year 4</c:v>
                </c:pt>
                <c:pt idx="5">
                  <c:v>Year 5</c:v>
                </c:pt>
              </c:strCache>
            </c:strRef>
          </c:cat>
          <c:val>
            <c:numRef>
              <c:f>'Revenue vs EBIDTA'!$C$7:$H$7</c:f>
              <c:numCache>
                <c:formatCode>#,,\ "million"</c:formatCode>
                <c:ptCount val="6"/>
                <c:pt idx="1">
                  <c:v>98420000</c:v>
                </c:pt>
                <c:pt idx="2">
                  <c:v>103341000</c:v>
                </c:pt>
                <c:pt idx="3">
                  <c:v>108508050</c:v>
                </c:pt>
                <c:pt idx="4">
                  <c:v>113933452.5</c:v>
                </c:pt>
                <c:pt idx="5">
                  <c:v>119630125.125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8C81-4471-AB50-7AB64E78B3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89906661"/>
        <c:axId val="1722815097"/>
      </c:barChart>
      <c:lineChart>
        <c:grouping val="standard"/>
        <c:varyColors val="0"/>
        <c:ser>
          <c:idx val="2"/>
          <c:order val="2"/>
          <c:tx>
            <c:v>Net Profit %</c:v>
          </c:tx>
          <c:spPr>
            <a:ln w="28575" cmpd="sng">
              <a:solidFill>
                <a:schemeClr val="accent3"/>
              </a:solidFill>
            </a:ln>
          </c:spPr>
          <c:marker>
            <c:symbol val="none"/>
          </c:marker>
          <c:cat>
            <c:strRef>
              <c:f>'Revenue vs EBIDTA'!$C$5:$H$5</c:f>
              <c:strCache>
                <c:ptCount val="6"/>
                <c:pt idx="1">
                  <c:v>Year 1</c:v>
                </c:pt>
                <c:pt idx="2">
                  <c:v>Year 2</c:v>
                </c:pt>
                <c:pt idx="3">
                  <c:v>Year 3</c:v>
                </c:pt>
                <c:pt idx="4">
                  <c:v>Year 4</c:v>
                </c:pt>
                <c:pt idx="5">
                  <c:v>Year 5</c:v>
                </c:pt>
              </c:strCache>
            </c:strRef>
          </c:cat>
          <c:val>
            <c:numRef>
              <c:f>'Revenue vs EBIDTA'!$C$9:$H$9</c:f>
              <c:numCache>
                <c:formatCode>0.00%</c:formatCode>
                <c:ptCount val="6"/>
                <c:pt idx="1">
                  <c:v>0.40937764705882351</c:v>
                </c:pt>
                <c:pt idx="2">
                  <c:v>0.40959632549574931</c:v>
                </c:pt>
                <c:pt idx="3">
                  <c:v>0.40981121575073559</c:v>
                </c:pt>
                <c:pt idx="4">
                  <c:v>0.41002281369325394</c:v>
                </c:pt>
                <c:pt idx="5">
                  <c:v>0.41023160660279412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81-4471-AB50-7AB64E78B3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9906661"/>
        <c:axId val="1722815097"/>
      </c:lineChart>
      <c:catAx>
        <c:axId val="98990666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Years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22815097"/>
        <c:crosses val="autoZero"/>
        <c:auto val="1"/>
        <c:lblAlgn val="ctr"/>
        <c:lblOffset val="100"/>
        <c:noMultiLvlLbl val="1"/>
      </c:catAx>
      <c:valAx>
        <c:axId val="172281509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USD</a:t>
                </a:r>
              </a:p>
            </c:rich>
          </c:tx>
          <c:overlay val="0"/>
        </c:title>
        <c:numFmt formatCode="0#,,\ &quot;million&quot;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89906661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914400</xdr:colOff>
      <xdr:row>23</xdr:row>
      <xdr:rowOff>0</xdr:rowOff>
    </xdr:from>
    <xdr:ext cx="257175" cy="76200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 txBox="1"/>
      </xdr:nvSpPr>
      <xdr:spPr>
        <a:xfrm rot="-5400000">
          <a:off x="4965000" y="3651412"/>
          <a:ext cx="762000" cy="257175"/>
        </a:xfrm>
        <a:prstGeom prst="rect">
          <a:avLst/>
        </a:prstGeom>
        <a:solidFill>
          <a:schemeClr val="accent2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Growth</a:t>
          </a:r>
          <a:endParaRPr sz="1400"/>
        </a:p>
      </xdr:txBody>
    </xdr:sp>
    <xdr:clientData fLocksWithSheet="0"/>
  </xdr:oneCellAnchor>
  <xdr:oneCellAnchor>
    <xdr:from>
      <xdr:col>4</xdr:col>
      <xdr:colOff>933450</xdr:colOff>
      <xdr:row>20</xdr:row>
      <xdr:rowOff>123825</xdr:rowOff>
    </xdr:from>
    <xdr:ext cx="4781550" cy="266700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 txBox="1"/>
      </xdr:nvSpPr>
      <xdr:spPr>
        <a:xfrm>
          <a:off x="2959988" y="3647720"/>
          <a:ext cx="4772025" cy="264560"/>
        </a:xfrm>
        <a:prstGeom prst="rect">
          <a:avLst/>
        </a:prstGeom>
        <a:solidFill>
          <a:schemeClr val="accent2"/>
        </a:solidFill>
        <a:ln>
          <a:noFill/>
        </a:ln>
      </xdr:spPr>
      <xdr:txBody>
        <a:bodyPr spcFirstLastPara="1" wrap="square" lIns="91425" tIns="45700" rIns="91425" bIns="45700" anchor="ctr" anchorCtr="0">
          <a:sp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WACC</a:t>
          </a:r>
          <a:endParaRPr sz="1400"/>
        </a:p>
      </xdr:txBody>
    </xdr:sp>
    <xdr:clientData fLocksWithSheet="0"/>
  </xdr:oneCellAnchor>
  <xdr:oneCellAnchor>
    <xdr:from>
      <xdr:col>3</xdr:col>
      <xdr:colOff>914400</xdr:colOff>
      <xdr:row>29</xdr:row>
      <xdr:rowOff>0</xdr:rowOff>
    </xdr:from>
    <xdr:ext cx="257175" cy="771525"/>
    <xdr:sp macro="" textlink="">
      <xdr:nvSpPr>
        <xdr:cNvPr id="5" name="Shape 5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 txBox="1"/>
      </xdr:nvSpPr>
      <xdr:spPr>
        <a:xfrm rot="-5400000">
          <a:off x="4960238" y="3651413"/>
          <a:ext cx="771525" cy="257175"/>
        </a:xfrm>
        <a:prstGeom prst="rect">
          <a:avLst/>
        </a:prstGeom>
        <a:solidFill>
          <a:schemeClr val="accent2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Growth</a:t>
          </a:r>
          <a:endParaRPr sz="14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571500</xdr:colOff>
      <xdr:row>10</xdr:row>
      <xdr:rowOff>9525</xdr:rowOff>
    </xdr:from>
    <xdr:ext cx="5076825" cy="3038475"/>
    <xdr:graphicFrame macro="">
      <xdr:nvGraphicFramePr>
        <xdr:cNvPr id="867186046" name="Chart 1">
          <a:extLst>
            <a:ext uri="{FF2B5EF4-FFF2-40B4-BE49-F238E27FC236}">
              <a16:creationId xmlns:a16="http://schemas.microsoft.com/office/drawing/2014/main" id="{00000000-0008-0000-0700-00007E35B0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1038225</xdr:colOff>
      <xdr:row>14</xdr:row>
      <xdr:rowOff>19050</xdr:rowOff>
    </xdr:from>
    <xdr:ext cx="609600" cy="209550"/>
    <xdr:sp macro="" textlink="">
      <xdr:nvSpPr>
        <xdr:cNvPr id="6" name="Shape 6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SpPr txBox="1"/>
      </xdr:nvSpPr>
      <xdr:spPr>
        <a:xfrm>
          <a:off x="5045963" y="3679988"/>
          <a:ext cx="600075" cy="200025"/>
        </a:xfrm>
        <a:prstGeom prst="rect">
          <a:avLst/>
        </a:prstGeom>
        <a:solidFill>
          <a:srgbClr val="002060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8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3,045mil</a:t>
          </a:r>
          <a:endParaRPr sz="1400"/>
        </a:p>
      </xdr:txBody>
    </xdr:sp>
    <xdr:clientData fLocksWithSheet="0"/>
  </xdr:oneCellAnchor>
  <xdr:oneCellAnchor>
    <xdr:from>
      <xdr:col>9</xdr:col>
      <xdr:colOff>200025</xdr:colOff>
      <xdr:row>14</xdr:row>
      <xdr:rowOff>19050</xdr:rowOff>
    </xdr:from>
    <xdr:ext cx="561975" cy="209550"/>
    <xdr:sp macro="" textlink="">
      <xdr:nvSpPr>
        <xdr:cNvPr id="7" name="Shape 7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SpPr txBox="1"/>
      </xdr:nvSpPr>
      <xdr:spPr>
        <a:xfrm>
          <a:off x="5069775" y="3679988"/>
          <a:ext cx="552450" cy="200025"/>
        </a:xfrm>
        <a:prstGeom prst="rect">
          <a:avLst/>
        </a:prstGeom>
        <a:solidFill>
          <a:srgbClr val="002060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7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2,500 mil</a:t>
          </a:r>
          <a:endParaRPr sz="1400"/>
        </a:p>
      </xdr:txBody>
    </xdr:sp>
    <xdr:clientData fLocksWithSheet="0"/>
  </xdr:oneCellAnchor>
  <xdr:oneCellAnchor>
    <xdr:from>
      <xdr:col>16</xdr:col>
      <xdr:colOff>57150</xdr:colOff>
      <xdr:row>13</xdr:row>
      <xdr:rowOff>47625</xdr:rowOff>
    </xdr:from>
    <xdr:ext cx="552450" cy="209550"/>
    <xdr:sp macro="" textlink="">
      <xdr:nvSpPr>
        <xdr:cNvPr id="8" name="Shape 8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SpPr txBox="1"/>
      </xdr:nvSpPr>
      <xdr:spPr>
        <a:xfrm>
          <a:off x="5074538" y="3679988"/>
          <a:ext cx="542925" cy="200025"/>
        </a:xfrm>
        <a:prstGeom prst="rect">
          <a:avLst/>
        </a:prstGeom>
        <a:solidFill>
          <a:srgbClr val="002060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8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2101 mil</a:t>
          </a: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C1000"/>
  <sheetViews>
    <sheetView showGridLines="0" tabSelected="1" workbookViewId="0"/>
  </sheetViews>
  <sheetFormatPr defaultColWidth="14.42578125" defaultRowHeight="15" customHeight="1" x14ac:dyDescent="0.25"/>
  <cols>
    <col min="1" max="1" width="0.85546875" customWidth="1"/>
    <col min="2" max="2" width="4" customWidth="1"/>
    <col min="3" max="26" width="8.7109375" customWidth="1"/>
  </cols>
  <sheetData>
    <row r="2" spans="2:3" ht="23.25" x14ac:dyDescent="0.35">
      <c r="C2" s="1" t="s">
        <v>0</v>
      </c>
    </row>
    <row r="4" spans="2:3" x14ac:dyDescent="0.25">
      <c r="C4" s="2" t="s">
        <v>1</v>
      </c>
    </row>
    <row r="5" spans="2:3" x14ac:dyDescent="0.25">
      <c r="C5" s="3" t="s">
        <v>2</v>
      </c>
    </row>
    <row r="6" spans="2:3" x14ac:dyDescent="0.25">
      <c r="B6" s="2">
        <v>1</v>
      </c>
      <c r="C6" s="4" t="s">
        <v>3</v>
      </c>
    </row>
    <row r="7" spans="2:3" x14ac:dyDescent="0.25">
      <c r="B7" s="2">
        <v>2</v>
      </c>
      <c r="C7" s="4" t="s">
        <v>4</v>
      </c>
    </row>
    <row r="8" spans="2:3" x14ac:dyDescent="0.25">
      <c r="C8" s="3" t="s">
        <v>5</v>
      </c>
    </row>
    <row r="9" spans="2:3" x14ac:dyDescent="0.25">
      <c r="B9" s="2">
        <v>3</v>
      </c>
      <c r="C9" s="4" t="s">
        <v>6</v>
      </c>
    </row>
    <row r="10" spans="2:3" x14ac:dyDescent="0.25">
      <c r="B10" s="2">
        <v>4</v>
      </c>
      <c r="C10" s="4" t="s">
        <v>7</v>
      </c>
    </row>
    <row r="11" spans="2:3" x14ac:dyDescent="0.25">
      <c r="B11" s="2">
        <v>5</v>
      </c>
      <c r="C11" s="4" t="s">
        <v>8</v>
      </c>
    </row>
    <row r="12" spans="2:3" x14ac:dyDescent="0.25">
      <c r="B12" s="2">
        <v>6</v>
      </c>
      <c r="C12" s="4" t="s">
        <v>9</v>
      </c>
    </row>
    <row r="13" spans="2:3" x14ac:dyDescent="0.25">
      <c r="B13" s="2">
        <v>7</v>
      </c>
      <c r="C13" s="4" t="s">
        <v>10</v>
      </c>
    </row>
    <row r="14" spans="2:3" x14ac:dyDescent="0.25">
      <c r="C14" s="3" t="s">
        <v>11</v>
      </c>
    </row>
    <row r="15" spans="2:3" x14ac:dyDescent="0.25">
      <c r="B15" s="2">
        <v>8</v>
      </c>
      <c r="C15" s="4" t="s">
        <v>12</v>
      </c>
    </row>
    <row r="16" spans="2:3" x14ac:dyDescent="0.25">
      <c r="B16" s="2">
        <v>9</v>
      </c>
      <c r="C16" s="4" t="s">
        <v>13</v>
      </c>
    </row>
    <row r="17" spans="2:3" x14ac:dyDescent="0.25">
      <c r="C17" s="3" t="s">
        <v>14</v>
      </c>
    </row>
    <row r="18" spans="2:3" x14ac:dyDescent="0.25">
      <c r="B18" s="2">
        <v>10</v>
      </c>
      <c r="C18" s="4" t="s">
        <v>15</v>
      </c>
    </row>
    <row r="19" spans="2:3" x14ac:dyDescent="0.25">
      <c r="B19" s="2">
        <v>11</v>
      </c>
      <c r="C19" s="4" t="s">
        <v>16</v>
      </c>
    </row>
    <row r="20" spans="2:3" x14ac:dyDescent="0.25">
      <c r="B20" s="2">
        <v>12</v>
      </c>
      <c r="C20" s="4" t="s">
        <v>17</v>
      </c>
    </row>
    <row r="21" spans="2:3" ht="15.75" customHeight="1" x14ac:dyDescent="0.25">
      <c r="B21" s="2">
        <v>13</v>
      </c>
      <c r="C21" s="4" t="s">
        <v>18</v>
      </c>
    </row>
    <row r="22" spans="2:3" ht="15.75" customHeight="1" x14ac:dyDescent="0.25"/>
    <row r="23" spans="2:3" ht="15.75" customHeight="1" x14ac:dyDescent="0.25"/>
    <row r="24" spans="2:3" ht="15.75" customHeight="1" x14ac:dyDescent="0.25"/>
    <row r="25" spans="2:3" ht="15.75" customHeight="1" x14ac:dyDescent="0.25"/>
    <row r="26" spans="2:3" ht="15.75" customHeight="1" x14ac:dyDescent="0.25"/>
    <row r="27" spans="2:3" ht="15.75" customHeight="1" x14ac:dyDescent="0.25"/>
    <row r="28" spans="2:3" ht="15.75" customHeight="1" x14ac:dyDescent="0.25"/>
    <row r="29" spans="2:3" ht="15.75" customHeight="1" x14ac:dyDescent="0.25"/>
    <row r="30" spans="2:3" ht="15.75" customHeight="1" x14ac:dyDescent="0.25"/>
    <row r="31" spans="2:3" ht="15.75" customHeight="1" x14ac:dyDescent="0.25"/>
    <row r="32" spans="2:3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hyperlinks>
    <hyperlink ref="C6" location="'Profit and Loss Assumption'!A1" display="Profit and Loss Assumptions" xr:uid="{00000000-0004-0000-0000-000000000000}"/>
    <hyperlink ref="C7" location="'BS Assumption '!A1" display="BS Assumptions" xr:uid="{00000000-0004-0000-0000-000001000000}"/>
    <hyperlink ref="C9" location="PnL!A1" display="Profit and Loss Projected" xr:uid="{00000000-0004-0000-0000-000002000000}"/>
    <hyperlink ref="C10" location="BS!A1" display="Balance Sheet Projected" xr:uid="{00000000-0004-0000-0000-000003000000}"/>
    <hyperlink ref="C11" location="CF!A1" display="Cashflows Projected" xr:uid="{00000000-0004-0000-0000-000004000000}"/>
    <hyperlink ref="C12" location="DCF!A1" display="Discount Cashflows" xr:uid="{00000000-0004-0000-0000-000005000000}"/>
    <hyperlink ref="C13" location="BE!A1" display="Breakeven Analysis" xr:uid="{00000000-0004-0000-0000-000006000000}"/>
    <hyperlink ref="C15" location="'Revenue vs EBIDTA'!A1" display="Revenue vs Ebidta vs Net Income" xr:uid="{00000000-0004-0000-0000-000007000000}"/>
    <hyperlink ref="C16" location="'DCF Results'!A1" display="DCF Results" xr:uid="{00000000-0004-0000-0000-000008000000}"/>
    <hyperlink ref="C18" location="'Source PnL'!A1" display="Source Profit and Loss" xr:uid="{00000000-0004-0000-0000-000009000000}"/>
    <hyperlink ref="C19" location="'Source BS'!A1" display="Source Balance Sheet" xr:uid="{00000000-0004-0000-0000-00000A000000}"/>
    <hyperlink ref="C20" location="'Revenue &amp; Cost Model'!A1" display="Revenue and Cost Model" xr:uid="{00000000-0004-0000-0000-00000B000000}"/>
    <hyperlink ref="C21" location="'Debt Schedule'!A1" display="Debt Schedule" xr:uid="{00000000-0004-0000-0000-00000C000000}"/>
  </hyperlinks>
  <pageMargins left="0.98425196850393704" right="0.98425196850393704" top="0.98425196850393704" bottom="0.98425196850393704" header="0.51181102362204722" footer="0.51181102362204722"/>
  <pageSetup paperSize="7" scale="16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4:R1000"/>
  <sheetViews>
    <sheetView showGridLines="0" workbookViewId="0"/>
  </sheetViews>
  <sheetFormatPr defaultColWidth="14.42578125" defaultRowHeight="15" customHeight="1" x14ac:dyDescent="0.25"/>
  <cols>
    <col min="1" max="1" width="8.7109375" customWidth="1"/>
    <col min="2" max="2" width="16.42578125" customWidth="1"/>
    <col min="3" max="3" width="11.7109375" customWidth="1"/>
    <col min="4" max="4" width="5.5703125" customWidth="1"/>
    <col min="5" max="8" width="8.7109375" customWidth="1"/>
    <col min="9" max="9" width="16.42578125" customWidth="1"/>
    <col min="10" max="10" width="11.7109375" customWidth="1"/>
    <col min="11" max="11" width="5.5703125" customWidth="1"/>
    <col min="12" max="15" width="8.7109375" customWidth="1"/>
    <col min="16" max="16" width="16.42578125" customWidth="1"/>
    <col min="17" max="17" width="11.7109375" customWidth="1"/>
    <col min="18" max="18" width="5.5703125" customWidth="1"/>
    <col min="19" max="26" width="8.7109375" customWidth="1"/>
  </cols>
  <sheetData>
    <row r="4" spans="2:18" x14ac:dyDescent="0.25">
      <c r="B4" s="7" t="s">
        <v>123</v>
      </c>
      <c r="C4" s="7" t="s">
        <v>124</v>
      </c>
      <c r="D4" s="7" t="s">
        <v>125</v>
      </c>
      <c r="I4" s="7" t="s">
        <v>126</v>
      </c>
      <c r="J4" s="7" t="s">
        <v>124</v>
      </c>
      <c r="K4" s="7" t="s">
        <v>125</v>
      </c>
      <c r="P4" s="7" t="s">
        <v>127</v>
      </c>
      <c r="Q4" s="7" t="s">
        <v>124</v>
      </c>
      <c r="R4" s="7" t="s">
        <v>125</v>
      </c>
    </row>
    <row r="5" spans="2:18" x14ac:dyDescent="0.25">
      <c r="B5" s="12" t="s">
        <v>128</v>
      </c>
      <c r="C5" s="30">
        <v>404035445.89214909</v>
      </c>
      <c r="D5" s="5">
        <f t="shared" ref="D5:D7" si="0">C5/C$7</f>
        <v>0.13270417159295245</v>
      </c>
      <c r="I5" s="12" t="s">
        <v>128</v>
      </c>
      <c r="J5" s="30">
        <v>356528986.18505633</v>
      </c>
      <c r="K5" s="5">
        <f t="shared" ref="K5:K7" si="1">J5/$J$7</f>
        <v>0.1426115944740225</v>
      </c>
      <c r="P5" s="12" t="s">
        <v>128</v>
      </c>
      <c r="Q5" s="30">
        <v>323816202.34037918</v>
      </c>
      <c r="R5" s="5">
        <f t="shared" ref="R5:R7" si="2">Q5/$Q$7</f>
        <v>0.1541244891730196</v>
      </c>
    </row>
    <row r="6" spans="2:18" x14ac:dyDescent="0.25">
      <c r="B6" s="12" t="s">
        <v>85</v>
      </c>
      <c r="C6" s="30">
        <v>2640597145.8507795</v>
      </c>
      <c r="D6" s="5">
        <f t="shared" si="0"/>
        <v>0.86729582840704755</v>
      </c>
      <c r="I6" s="12" t="s">
        <v>85</v>
      </c>
      <c r="J6" s="30">
        <v>2143471013.8149443</v>
      </c>
      <c r="K6" s="5">
        <f t="shared" si="1"/>
        <v>0.8573884055259775</v>
      </c>
      <c r="P6" s="12" t="s">
        <v>85</v>
      </c>
      <c r="Q6" s="30">
        <v>1777188018.8438628</v>
      </c>
      <c r="R6" s="5">
        <f t="shared" si="2"/>
        <v>0.84587551082698043</v>
      </c>
    </row>
    <row r="7" spans="2:18" x14ac:dyDescent="0.25">
      <c r="B7" s="12" t="s">
        <v>87</v>
      </c>
      <c r="C7" s="30">
        <v>3044632591.7429285</v>
      </c>
      <c r="D7" s="5">
        <f t="shared" si="0"/>
        <v>1</v>
      </c>
      <c r="I7" s="12" t="s">
        <v>87</v>
      </c>
      <c r="J7" s="30">
        <v>2500000000.0000005</v>
      </c>
      <c r="K7" s="5">
        <f t="shared" si="1"/>
        <v>1</v>
      </c>
      <c r="P7" s="12" t="s">
        <v>87</v>
      </c>
      <c r="Q7" s="30">
        <v>2101004221.184242</v>
      </c>
      <c r="R7" s="5">
        <f t="shared" si="2"/>
        <v>1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I1000"/>
  <sheetViews>
    <sheetView showGridLines="0" workbookViewId="0"/>
  </sheetViews>
  <sheetFormatPr defaultColWidth="14.42578125" defaultRowHeight="15" customHeight="1" x14ac:dyDescent="0.25"/>
  <cols>
    <col min="1" max="1" width="0.85546875" customWidth="1"/>
    <col min="2" max="3" width="8.7109375" customWidth="1"/>
    <col min="4" max="4" width="12.5703125" customWidth="1"/>
    <col min="5" max="26" width="8.7109375" customWidth="1"/>
  </cols>
  <sheetData>
    <row r="2" spans="2:4" ht="23.25" x14ac:dyDescent="0.35">
      <c r="B2" s="1" t="s">
        <v>129</v>
      </c>
    </row>
    <row r="5" spans="2:4" x14ac:dyDescent="0.25">
      <c r="B5" s="3" t="s">
        <v>28</v>
      </c>
    </row>
    <row r="6" spans="2:4" x14ac:dyDescent="0.25">
      <c r="B6" s="2" t="str">
        <f>'Revenue &amp; Cost Model'!B4</f>
        <v>R-Stream - 1</v>
      </c>
      <c r="D6" s="24">
        <f>'Revenue &amp; Cost Model'!C9</f>
        <v>40000000</v>
      </c>
    </row>
    <row r="7" spans="2:4" x14ac:dyDescent="0.25">
      <c r="B7" s="2" t="str">
        <f>'Revenue &amp; Cost Model'!B15</f>
        <v>R-Stream - 2</v>
      </c>
      <c r="D7" s="24">
        <f>'Revenue &amp; Cost Model'!C16</f>
        <v>20000000</v>
      </c>
    </row>
    <row r="8" spans="2:4" x14ac:dyDescent="0.25">
      <c r="B8" s="2" t="str">
        <f>'Revenue &amp; Cost Model'!B19</f>
        <v>R-Stream - 3</v>
      </c>
      <c r="D8" s="24">
        <f>'Revenue &amp; Cost Model'!C26</f>
        <v>110000000</v>
      </c>
    </row>
    <row r="9" spans="2:4" x14ac:dyDescent="0.25">
      <c r="B9" s="3" t="s">
        <v>130</v>
      </c>
      <c r="C9" s="3"/>
      <c r="D9" s="31">
        <f>SUM(D6:D8)</f>
        <v>170000000</v>
      </c>
    </row>
    <row r="10" spans="2:4" x14ac:dyDescent="0.25">
      <c r="D10" s="24"/>
    </row>
    <row r="11" spans="2:4" x14ac:dyDescent="0.25">
      <c r="B11" s="3" t="s">
        <v>131</v>
      </c>
      <c r="D11" s="24"/>
    </row>
    <row r="12" spans="2:4" x14ac:dyDescent="0.25">
      <c r="B12" s="2" t="s">
        <v>132</v>
      </c>
      <c r="D12" s="24">
        <f>-('Revenue &amp; Cost Model'!F13+'Revenue &amp; Cost Model'!F9)</f>
        <v>-15000000</v>
      </c>
    </row>
    <row r="13" spans="2:4" x14ac:dyDescent="0.25">
      <c r="B13" s="2" t="s">
        <v>133</v>
      </c>
      <c r="D13" s="24">
        <f>-'Revenue &amp; Cost Model'!F16</f>
        <v>-10000000</v>
      </c>
    </row>
    <row r="14" spans="2:4" x14ac:dyDescent="0.25">
      <c r="B14" s="2" t="s">
        <v>134</v>
      </c>
      <c r="D14" s="24">
        <f>-'Revenue &amp; Cost Model'!F24</f>
        <v>-20000000</v>
      </c>
    </row>
    <row r="15" spans="2:4" x14ac:dyDescent="0.25">
      <c r="B15" s="3" t="s">
        <v>135</v>
      </c>
      <c r="C15" s="3"/>
      <c r="D15" s="31">
        <f>SUM(D12:D14)</f>
        <v>-45000000</v>
      </c>
    </row>
    <row r="17" spans="2:9" x14ac:dyDescent="0.25">
      <c r="B17" s="3" t="s">
        <v>136</v>
      </c>
      <c r="C17" s="3"/>
      <c r="D17" s="31">
        <f>D9+D15</f>
        <v>125000000</v>
      </c>
    </row>
    <row r="19" spans="2:9" x14ac:dyDescent="0.25">
      <c r="B19" s="3" t="s">
        <v>137</v>
      </c>
    </row>
    <row r="20" spans="2:9" x14ac:dyDescent="0.25">
      <c r="B20" s="2" t="str">
        <f>'Revenue &amp; Cost Model'!H5</f>
        <v>Platform</v>
      </c>
      <c r="D20" s="24">
        <f>-'Revenue &amp; Cost Model'!I5</f>
        <v>-20000000</v>
      </c>
      <c r="E20" s="15">
        <f t="shared" ref="E20:E25" si="0">D20/$D$9</f>
        <v>-0.11764705882352941</v>
      </c>
    </row>
    <row r="21" spans="2:9" ht="15.75" customHeight="1" x14ac:dyDescent="0.25">
      <c r="B21" s="2" t="str">
        <f>'Revenue &amp; Cost Model'!H6</f>
        <v>Rental Cost</v>
      </c>
      <c r="D21" s="24">
        <f>-'Revenue &amp; Cost Model'!I6</f>
        <v>-1000000</v>
      </c>
      <c r="E21" s="15">
        <f t="shared" si="0"/>
        <v>-5.8823529411764705E-3</v>
      </c>
    </row>
    <row r="22" spans="2:9" ht="15.75" customHeight="1" x14ac:dyDescent="0.25">
      <c r="B22" s="2" t="str">
        <f>'Revenue &amp; Cost Model'!H7</f>
        <v>Employees Cost</v>
      </c>
      <c r="D22" s="24">
        <f>-'Revenue &amp; Cost Model'!I7</f>
        <v>-3000000</v>
      </c>
      <c r="E22" s="15">
        <f t="shared" si="0"/>
        <v>-1.7647058823529412E-2</v>
      </c>
    </row>
    <row r="23" spans="2:9" ht="15.75" customHeight="1" x14ac:dyDescent="0.25">
      <c r="B23" s="2" t="str">
        <f>'Revenue &amp; Cost Model'!H8</f>
        <v>Legal Cost</v>
      </c>
      <c r="D23" s="24">
        <f>-'Revenue &amp; Cost Model'!I8</f>
        <v>-100000</v>
      </c>
      <c r="E23" s="15">
        <f t="shared" si="0"/>
        <v>-5.8823529411764701E-4</v>
      </c>
    </row>
    <row r="24" spans="2:9" ht="15.75" customHeight="1" x14ac:dyDescent="0.25">
      <c r="B24" s="2" t="str">
        <f>'Revenue &amp; Cost Model'!H9</f>
        <v>Office Expenses</v>
      </c>
      <c r="D24" s="24">
        <f>-'Revenue &amp; Cost Model'!I9</f>
        <v>-1000000</v>
      </c>
      <c r="E24" s="15">
        <f t="shared" si="0"/>
        <v>-5.8823529411764705E-3</v>
      </c>
    </row>
    <row r="25" spans="2:9" ht="15.75" customHeight="1" x14ac:dyDescent="0.25">
      <c r="B25" s="2" t="str">
        <f>'Revenue &amp; Cost Model'!H10</f>
        <v>Misc Expenses</v>
      </c>
      <c r="D25" s="24">
        <f>-'Revenue &amp; Cost Model'!I10</f>
        <v>-500000</v>
      </c>
      <c r="E25" s="15">
        <f t="shared" si="0"/>
        <v>-2.9411764705882353E-3</v>
      </c>
    </row>
    <row r="26" spans="2:9" ht="15.75" customHeight="1" x14ac:dyDescent="0.25">
      <c r="B26" s="3" t="str">
        <f>'Revenue &amp; Cost Model'!H11</f>
        <v>Total Fixed Cost</v>
      </c>
      <c r="C26" s="3"/>
      <c r="D26" s="31">
        <f>-'Revenue &amp; Cost Model'!I11</f>
        <v>-25600000</v>
      </c>
    </row>
    <row r="27" spans="2:9" ht="15.75" customHeight="1" x14ac:dyDescent="0.25"/>
    <row r="28" spans="2:9" ht="15.75" customHeight="1" x14ac:dyDescent="0.25">
      <c r="B28" s="3" t="s">
        <v>138</v>
      </c>
      <c r="D28" s="31">
        <f>D17+D26</f>
        <v>99400000</v>
      </c>
      <c r="E28" s="2" t="s">
        <v>139</v>
      </c>
    </row>
    <row r="29" spans="2:9" ht="15.75" customHeight="1" x14ac:dyDescent="0.25"/>
    <row r="30" spans="2:9" ht="15.75" customHeight="1" x14ac:dyDescent="0.25">
      <c r="B30" s="2" t="s">
        <v>140</v>
      </c>
      <c r="D30" s="24">
        <f>-'Revenue &amp; Cost Model'!I13</f>
        <v>-400000</v>
      </c>
      <c r="I30" s="2" t="s">
        <v>141</v>
      </c>
    </row>
    <row r="31" spans="2:9" ht="15.75" customHeight="1" x14ac:dyDescent="0.25">
      <c r="D31" s="24"/>
    </row>
    <row r="32" spans="2:9" ht="15.75" customHeight="1" x14ac:dyDescent="0.25">
      <c r="B32" s="3" t="s">
        <v>142</v>
      </c>
      <c r="C32" s="3"/>
      <c r="D32" s="31">
        <f>D28+D30</f>
        <v>99000000</v>
      </c>
      <c r="E32" s="2" t="s">
        <v>53</v>
      </c>
    </row>
    <row r="33" spans="2:5" ht="15.75" customHeight="1" x14ac:dyDescent="0.25">
      <c r="D33" s="24"/>
    </row>
    <row r="34" spans="2:5" ht="15.75" customHeight="1" x14ac:dyDescent="0.25">
      <c r="B34" s="2" t="s">
        <v>143</v>
      </c>
      <c r="D34" s="24">
        <f>-'Revenue &amp; Cost Model'!I15*'Source PnL'!D32</f>
        <v>-28709999.999999996</v>
      </c>
    </row>
    <row r="35" spans="2:5" ht="15.75" customHeight="1" x14ac:dyDescent="0.25">
      <c r="D35" s="24"/>
    </row>
    <row r="36" spans="2:5" ht="15.75" customHeight="1" x14ac:dyDescent="0.25">
      <c r="B36" s="3" t="s">
        <v>144</v>
      </c>
      <c r="C36" s="3"/>
      <c r="D36" s="31">
        <f>D32+D34</f>
        <v>70290000</v>
      </c>
      <c r="E36" s="2" t="s">
        <v>145</v>
      </c>
    </row>
    <row r="37" spans="2:5" ht="15.75" customHeight="1" x14ac:dyDescent="0.25"/>
    <row r="38" spans="2:5" ht="15.75" customHeight="1" x14ac:dyDescent="0.25"/>
    <row r="39" spans="2:5" ht="15.75" customHeight="1" x14ac:dyDescent="0.25"/>
    <row r="40" spans="2:5" ht="15.75" customHeight="1" x14ac:dyDescent="0.25"/>
    <row r="41" spans="2:5" ht="15.75" customHeight="1" x14ac:dyDescent="0.25"/>
    <row r="42" spans="2:5" ht="15.75" customHeight="1" x14ac:dyDescent="0.25"/>
    <row r="43" spans="2:5" ht="15.75" customHeight="1" x14ac:dyDescent="0.25"/>
    <row r="44" spans="2:5" ht="15.75" customHeight="1" x14ac:dyDescent="0.25"/>
    <row r="45" spans="2:5" ht="15.75" customHeight="1" x14ac:dyDescent="0.25"/>
    <row r="46" spans="2:5" ht="15.75" customHeight="1" x14ac:dyDescent="0.25"/>
    <row r="47" spans="2:5" ht="15.75" customHeight="1" x14ac:dyDescent="0.25"/>
    <row r="48" spans="2:5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K1000"/>
  <sheetViews>
    <sheetView showGridLines="0" workbookViewId="0"/>
  </sheetViews>
  <sheetFormatPr defaultColWidth="14.42578125" defaultRowHeight="15" customHeight="1" x14ac:dyDescent="0.25"/>
  <cols>
    <col min="1" max="1" width="0.85546875" customWidth="1"/>
    <col min="2" max="4" width="8.7109375" customWidth="1"/>
    <col min="5" max="5" width="15.28515625" customWidth="1"/>
    <col min="6" max="10" width="8.7109375" customWidth="1"/>
    <col min="11" max="11" width="14.28515625" customWidth="1"/>
    <col min="12" max="26" width="8.7109375" customWidth="1"/>
  </cols>
  <sheetData>
    <row r="2" spans="2:11" ht="23.25" x14ac:dyDescent="0.35">
      <c r="B2" s="1" t="s">
        <v>146</v>
      </c>
    </row>
    <row r="4" spans="2:11" x14ac:dyDescent="0.25">
      <c r="B4" s="3" t="s">
        <v>102</v>
      </c>
      <c r="C4" s="3"/>
      <c r="D4" s="3"/>
      <c r="E4" s="3"/>
      <c r="F4" s="3"/>
      <c r="G4" s="3"/>
      <c r="H4" s="3" t="s">
        <v>109</v>
      </c>
    </row>
    <row r="5" spans="2:11" x14ac:dyDescent="0.25">
      <c r="B5" s="3" t="s">
        <v>103</v>
      </c>
      <c r="C5" s="3"/>
      <c r="D5" s="3"/>
      <c r="E5" s="3"/>
      <c r="F5" s="3"/>
      <c r="G5" s="3"/>
      <c r="H5" s="3" t="s">
        <v>110</v>
      </c>
    </row>
    <row r="6" spans="2:11" x14ac:dyDescent="0.25">
      <c r="B6" s="2" t="s">
        <v>104</v>
      </c>
      <c r="E6" s="17">
        <f>'Source PnL'!D9*5%</f>
        <v>8500000</v>
      </c>
      <c r="H6" s="2" t="s">
        <v>111</v>
      </c>
      <c r="K6" s="17">
        <f>'Debt Schedule'!C4</f>
        <v>4000000</v>
      </c>
    </row>
    <row r="7" spans="2:11" x14ac:dyDescent="0.25">
      <c r="B7" s="2" t="s">
        <v>43</v>
      </c>
      <c r="E7" s="17">
        <f>'Source PnL'!D9*3%</f>
        <v>5100000</v>
      </c>
      <c r="K7" s="17"/>
    </row>
    <row r="8" spans="2:11" x14ac:dyDescent="0.25">
      <c r="E8" s="17"/>
      <c r="H8" s="3" t="s">
        <v>112</v>
      </c>
      <c r="K8" s="17"/>
    </row>
    <row r="9" spans="2:11" x14ac:dyDescent="0.25">
      <c r="B9" s="3" t="s">
        <v>105</v>
      </c>
      <c r="E9" s="17"/>
      <c r="H9" s="2" t="s">
        <v>113</v>
      </c>
      <c r="K9" s="17">
        <f>-'Source PnL'!D15*4%</f>
        <v>1800000</v>
      </c>
    </row>
    <row r="10" spans="2:11" x14ac:dyDescent="0.25">
      <c r="B10" s="2" t="s">
        <v>40</v>
      </c>
      <c r="E10" s="17">
        <f>-'Source PnL'!D15*2%</f>
        <v>900000</v>
      </c>
      <c r="H10" s="2" t="s">
        <v>115</v>
      </c>
      <c r="K10" s="17">
        <f>-'Source PnL'!D15*1%</f>
        <v>450000</v>
      </c>
    </row>
    <row r="11" spans="2:11" x14ac:dyDescent="0.25">
      <c r="B11" s="2" t="s">
        <v>106</v>
      </c>
      <c r="E11" s="17">
        <v>800000</v>
      </c>
    </row>
    <row r="12" spans="2:11" x14ac:dyDescent="0.25">
      <c r="B12" s="2" t="s">
        <v>107</v>
      </c>
      <c r="E12" s="17">
        <f>'Source PnL'!D9*1.5%</f>
        <v>2550000</v>
      </c>
      <c r="K12" s="17"/>
    </row>
    <row r="13" spans="2:11" x14ac:dyDescent="0.25">
      <c r="E13" s="17"/>
      <c r="H13" s="3" t="s">
        <v>116</v>
      </c>
      <c r="K13" s="17"/>
    </row>
    <row r="14" spans="2:11" x14ac:dyDescent="0.25">
      <c r="E14" s="17"/>
      <c r="H14" s="2" t="s">
        <v>117</v>
      </c>
      <c r="K14" s="17">
        <v>11600000</v>
      </c>
    </row>
    <row r="15" spans="2:11" x14ac:dyDescent="0.25">
      <c r="E15" s="17"/>
      <c r="H15" s="2" t="s">
        <v>119</v>
      </c>
      <c r="K15" s="17">
        <v>0</v>
      </c>
    </row>
    <row r="16" spans="2:11" x14ac:dyDescent="0.25">
      <c r="E16" s="17"/>
      <c r="H16" s="2" t="s">
        <v>120</v>
      </c>
      <c r="K16" s="17">
        <v>0</v>
      </c>
    </row>
    <row r="17" spans="2:11" x14ac:dyDescent="0.25">
      <c r="E17" s="17"/>
      <c r="H17" s="2" t="s">
        <v>121</v>
      </c>
      <c r="K17" s="17">
        <v>0</v>
      </c>
    </row>
    <row r="18" spans="2:11" x14ac:dyDescent="0.25">
      <c r="E18" s="17"/>
      <c r="K18" s="17"/>
    </row>
    <row r="19" spans="2:11" x14ac:dyDescent="0.25">
      <c r="B19" s="3" t="s">
        <v>108</v>
      </c>
      <c r="E19" s="14">
        <f>SUM(E6:E12)</f>
        <v>17850000</v>
      </c>
      <c r="H19" s="3" t="s">
        <v>122</v>
      </c>
      <c r="K19" s="14">
        <f>SUM(K6:K17)</f>
        <v>17850000</v>
      </c>
    </row>
    <row r="21" spans="2:11" ht="15.75" customHeight="1" x14ac:dyDescent="0.25">
      <c r="E21" s="17">
        <f>K19-E19</f>
        <v>0</v>
      </c>
    </row>
    <row r="22" spans="2:11" ht="15.75" customHeight="1" x14ac:dyDescent="0.25"/>
    <row r="23" spans="2:11" ht="15.75" customHeight="1" x14ac:dyDescent="0.25"/>
    <row r="24" spans="2:11" ht="15.75" customHeight="1" x14ac:dyDescent="0.25"/>
    <row r="25" spans="2:11" ht="15.75" customHeight="1" x14ac:dyDescent="0.25"/>
    <row r="26" spans="2:11" ht="15.75" customHeight="1" x14ac:dyDescent="0.25"/>
    <row r="27" spans="2:11" ht="15.75" customHeight="1" x14ac:dyDescent="0.25"/>
    <row r="28" spans="2:11" ht="15.75" customHeight="1" x14ac:dyDescent="0.25"/>
    <row r="29" spans="2:11" ht="15.75" customHeight="1" x14ac:dyDescent="0.25"/>
    <row r="30" spans="2:11" ht="15.75" customHeight="1" x14ac:dyDescent="0.25"/>
    <row r="31" spans="2:11" ht="15.75" customHeight="1" x14ac:dyDescent="0.25"/>
    <row r="32" spans="2:11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2:I1000"/>
  <sheetViews>
    <sheetView showGridLines="0" workbookViewId="0"/>
  </sheetViews>
  <sheetFormatPr defaultColWidth="14.42578125" defaultRowHeight="15" customHeight="1" x14ac:dyDescent="0.25"/>
  <cols>
    <col min="1" max="1" width="0.85546875" customWidth="1"/>
    <col min="2" max="2" width="16.140625" customWidth="1"/>
    <col min="3" max="3" width="13.28515625" customWidth="1"/>
    <col min="4" max="4" width="8.7109375" customWidth="1"/>
    <col min="5" max="5" width="20" customWidth="1"/>
    <col min="6" max="6" width="14.28515625" customWidth="1"/>
    <col min="7" max="7" width="8.7109375" customWidth="1"/>
    <col min="8" max="8" width="16.28515625" customWidth="1"/>
    <col min="9" max="9" width="11.5703125" customWidth="1"/>
    <col min="10" max="26" width="8.7109375" customWidth="1"/>
  </cols>
  <sheetData>
    <row r="2" spans="2:9" ht="23.25" x14ac:dyDescent="0.35">
      <c r="B2" s="1" t="s">
        <v>147</v>
      </c>
      <c r="E2" s="1" t="s">
        <v>148</v>
      </c>
      <c r="H2" s="1" t="s">
        <v>149</v>
      </c>
    </row>
    <row r="4" spans="2:9" x14ac:dyDescent="0.25">
      <c r="B4" s="3" t="s">
        <v>150</v>
      </c>
    </row>
    <row r="5" spans="2:9" x14ac:dyDescent="0.25">
      <c r="B5" s="3" t="s">
        <v>151</v>
      </c>
      <c r="H5" s="2" t="s">
        <v>152</v>
      </c>
      <c r="I5" s="24">
        <v>20000000</v>
      </c>
    </row>
    <row r="6" spans="2:9" x14ac:dyDescent="0.25">
      <c r="H6" s="2" t="s">
        <v>153</v>
      </c>
      <c r="I6" s="24">
        <v>1000000</v>
      </c>
    </row>
    <row r="7" spans="2:9" x14ac:dyDescent="0.25">
      <c r="B7" s="2" t="s">
        <v>154</v>
      </c>
      <c r="C7" s="24">
        <v>1000000</v>
      </c>
      <c r="E7" s="2" t="str">
        <f t="shared" ref="E7:F7" si="0">B7</f>
        <v>No of Orders</v>
      </c>
      <c r="F7" s="24">
        <f t="shared" si="0"/>
        <v>1000000</v>
      </c>
      <c r="H7" s="2" t="s">
        <v>155</v>
      </c>
      <c r="I7" s="24">
        <v>3000000</v>
      </c>
    </row>
    <row r="8" spans="2:9" x14ac:dyDescent="0.25">
      <c r="B8" s="2" t="s">
        <v>156</v>
      </c>
      <c r="C8" s="24">
        <v>40</v>
      </c>
      <c r="E8" s="2" t="s">
        <v>157</v>
      </c>
      <c r="F8" s="24">
        <v>10</v>
      </c>
      <c r="H8" s="2" t="s">
        <v>158</v>
      </c>
      <c r="I8" s="24">
        <v>100000</v>
      </c>
    </row>
    <row r="9" spans="2:9" x14ac:dyDescent="0.25">
      <c r="B9" s="2" t="s">
        <v>130</v>
      </c>
      <c r="C9" s="24">
        <f>C7*C8</f>
        <v>40000000</v>
      </c>
      <c r="E9" s="2" t="s">
        <v>159</v>
      </c>
      <c r="F9" s="24">
        <f>F7*F8</f>
        <v>10000000</v>
      </c>
      <c r="H9" s="2" t="s">
        <v>160</v>
      </c>
      <c r="I9" s="24">
        <v>1000000</v>
      </c>
    </row>
    <row r="10" spans="2:9" x14ac:dyDescent="0.25">
      <c r="C10" s="24"/>
      <c r="H10" s="2" t="s">
        <v>161</v>
      </c>
      <c r="I10" s="24">
        <v>500000</v>
      </c>
    </row>
    <row r="11" spans="2:9" x14ac:dyDescent="0.25">
      <c r="C11" s="24"/>
      <c r="E11" s="2" t="str">
        <f t="shared" ref="E11:F11" si="1">B7</f>
        <v>No of Orders</v>
      </c>
      <c r="F11" s="24">
        <f t="shared" si="1"/>
        <v>1000000</v>
      </c>
      <c r="H11" s="3" t="s">
        <v>162</v>
      </c>
      <c r="I11" s="31">
        <f>SUM(I5:I10)</f>
        <v>25600000</v>
      </c>
    </row>
    <row r="12" spans="2:9" x14ac:dyDescent="0.25">
      <c r="C12" s="24"/>
      <c r="E12" s="2" t="s">
        <v>163</v>
      </c>
      <c r="F12" s="2">
        <v>5</v>
      </c>
    </row>
    <row r="13" spans="2:9" x14ac:dyDescent="0.25">
      <c r="C13" s="24"/>
      <c r="E13" s="2" t="s">
        <v>164</v>
      </c>
      <c r="F13" s="24">
        <f>F11*F12</f>
        <v>5000000</v>
      </c>
      <c r="H13" s="3" t="s">
        <v>140</v>
      </c>
      <c r="I13" s="31">
        <f>'Debt Schedule'!D13</f>
        <v>400000</v>
      </c>
    </row>
    <row r="14" spans="2:9" x14ac:dyDescent="0.25">
      <c r="C14" s="24"/>
    </row>
    <row r="15" spans="2:9" x14ac:dyDescent="0.25">
      <c r="B15" s="3" t="s">
        <v>165</v>
      </c>
      <c r="C15" s="24"/>
      <c r="H15" s="2" t="s">
        <v>166</v>
      </c>
      <c r="I15" s="5">
        <v>0.28999999999999998</v>
      </c>
    </row>
    <row r="16" spans="2:9" x14ac:dyDescent="0.25">
      <c r="B16" s="2" t="s">
        <v>167</v>
      </c>
      <c r="C16" s="24">
        <v>20000000</v>
      </c>
      <c r="E16" s="2" t="s">
        <v>168</v>
      </c>
      <c r="F16" s="24">
        <f>C16*50%</f>
        <v>10000000</v>
      </c>
    </row>
    <row r="17" spans="2:6" x14ac:dyDescent="0.25">
      <c r="C17" s="24"/>
    </row>
    <row r="18" spans="2:6" x14ac:dyDescent="0.25">
      <c r="C18" s="24"/>
    </row>
    <row r="19" spans="2:6" x14ac:dyDescent="0.25">
      <c r="B19" s="3" t="s">
        <v>169</v>
      </c>
      <c r="C19" s="24"/>
    </row>
    <row r="20" spans="2:6" x14ac:dyDescent="0.25">
      <c r="B20" s="2" t="s">
        <v>170</v>
      </c>
      <c r="C20" s="24"/>
    </row>
    <row r="21" spans="2:6" ht="15.75" customHeight="1" x14ac:dyDescent="0.25">
      <c r="C21" s="24"/>
    </row>
    <row r="22" spans="2:6" ht="15.75" customHeight="1" x14ac:dyDescent="0.25">
      <c r="B22" s="2" t="s">
        <v>171</v>
      </c>
      <c r="C22" s="24">
        <v>500000</v>
      </c>
      <c r="E22" s="2" t="str">
        <f t="shared" ref="E22:F22" si="2">B22</f>
        <v>No of orders</v>
      </c>
      <c r="F22" s="24">
        <f t="shared" si="2"/>
        <v>500000</v>
      </c>
    </row>
    <row r="23" spans="2:6" ht="15.75" customHeight="1" x14ac:dyDescent="0.25">
      <c r="B23" s="2" t="s">
        <v>172</v>
      </c>
      <c r="C23" s="24">
        <v>100</v>
      </c>
      <c r="E23" s="2" t="s">
        <v>173</v>
      </c>
      <c r="F23" s="24">
        <v>40</v>
      </c>
    </row>
    <row r="24" spans="2:6" ht="15.75" customHeight="1" x14ac:dyDescent="0.25">
      <c r="C24" s="24">
        <f>C22*C23</f>
        <v>50000000</v>
      </c>
      <c r="E24" s="2" t="s">
        <v>174</v>
      </c>
      <c r="F24" s="24">
        <f>F22*F23</f>
        <v>20000000</v>
      </c>
    </row>
    <row r="25" spans="2:6" ht="15.75" customHeight="1" x14ac:dyDescent="0.25"/>
    <row r="26" spans="2:6" ht="15.75" customHeight="1" x14ac:dyDescent="0.25">
      <c r="B26" s="2" t="s">
        <v>130</v>
      </c>
      <c r="C26" s="24">
        <f>C24+C16+C9</f>
        <v>110000000</v>
      </c>
      <c r="E26" s="2" t="s">
        <v>175</v>
      </c>
      <c r="F26" s="24">
        <f>F24+F16+F9+F13</f>
        <v>45000000</v>
      </c>
    </row>
    <row r="27" spans="2:6" ht="15.75" customHeight="1" x14ac:dyDescent="0.25"/>
    <row r="28" spans="2:6" ht="15.75" customHeight="1" x14ac:dyDescent="0.25"/>
    <row r="29" spans="2:6" ht="15.75" customHeight="1" x14ac:dyDescent="0.25"/>
    <row r="30" spans="2:6" ht="15.75" customHeight="1" x14ac:dyDescent="0.25"/>
    <row r="31" spans="2:6" ht="15.75" customHeight="1" x14ac:dyDescent="0.25"/>
    <row r="32" spans="2:6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2:O1000"/>
  <sheetViews>
    <sheetView showGridLines="0" workbookViewId="0">
      <selection activeCell="E27" sqref="E27"/>
    </sheetView>
  </sheetViews>
  <sheetFormatPr defaultColWidth="14.42578125" defaultRowHeight="15" customHeight="1" x14ac:dyDescent="0.25"/>
  <cols>
    <col min="1" max="1" width="0.85546875" customWidth="1"/>
    <col min="2" max="2" width="12.7109375" customWidth="1"/>
    <col min="3" max="3" width="13.28515625" customWidth="1"/>
    <col min="4" max="4" width="8.7109375" customWidth="1"/>
    <col min="5" max="5" width="11.140625" customWidth="1"/>
    <col min="6" max="6" width="12.5703125" customWidth="1"/>
    <col min="7" max="7" width="9.7109375" customWidth="1"/>
    <col min="8" max="9" width="8.7109375" customWidth="1"/>
    <col min="10" max="10" width="18.28515625" customWidth="1"/>
    <col min="11" max="11" width="16" customWidth="1"/>
    <col min="12" max="12" width="9" customWidth="1"/>
    <col min="13" max="13" width="16" customWidth="1"/>
    <col min="14" max="14" width="14.85546875" customWidth="1"/>
    <col min="15" max="15" width="9.7109375" customWidth="1"/>
    <col min="16" max="26" width="8.7109375" customWidth="1"/>
  </cols>
  <sheetData>
    <row r="2" spans="2:15" ht="23.25" x14ac:dyDescent="0.35">
      <c r="B2" s="1" t="s">
        <v>176</v>
      </c>
    </row>
    <row r="4" spans="2:15" x14ac:dyDescent="0.25">
      <c r="B4" s="2" t="s">
        <v>177</v>
      </c>
      <c r="C4" s="24">
        <v>4000000</v>
      </c>
      <c r="E4" s="5" t="s">
        <v>178</v>
      </c>
      <c r="F4" s="32">
        <f>PMT(C7,C5,C4)</f>
        <v>-749776.07029925392</v>
      </c>
      <c r="J4" s="2" t="s">
        <v>177</v>
      </c>
      <c r="K4" s="24">
        <v>4000000</v>
      </c>
      <c r="M4" s="5" t="s">
        <v>178</v>
      </c>
      <c r="N4" s="32">
        <f>PMT(K9,K7,K4)</f>
        <v>-60696.656391217322</v>
      </c>
    </row>
    <row r="5" spans="2:15" x14ac:dyDescent="0.25">
      <c r="B5" s="2" t="s">
        <v>179</v>
      </c>
      <c r="C5" s="2">
        <v>8</v>
      </c>
      <c r="J5" s="2" t="s">
        <v>179</v>
      </c>
      <c r="K5" s="2">
        <v>8</v>
      </c>
    </row>
    <row r="6" spans="2:15" x14ac:dyDescent="0.25">
      <c r="J6" s="2" t="s">
        <v>180</v>
      </c>
      <c r="K6" s="2">
        <v>12</v>
      </c>
    </row>
    <row r="7" spans="2:15" x14ac:dyDescent="0.25">
      <c r="B7" s="2" t="s">
        <v>181</v>
      </c>
      <c r="C7" s="5">
        <v>0.1</v>
      </c>
      <c r="K7" s="2">
        <f>K5*K6</f>
        <v>96</v>
      </c>
    </row>
    <row r="8" spans="2:15" x14ac:dyDescent="0.25">
      <c r="J8" s="2" t="s">
        <v>181</v>
      </c>
      <c r="K8" s="5">
        <v>0.1</v>
      </c>
    </row>
    <row r="9" spans="2:15" x14ac:dyDescent="0.25">
      <c r="B9" s="2" t="s">
        <v>182</v>
      </c>
      <c r="C9" s="33">
        <v>44927</v>
      </c>
      <c r="J9" s="2" t="s">
        <v>183</v>
      </c>
      <c r="K9" s="34">
        <f>K8/K6</f>
        <v>8.3333333333333332E-3</v>
      </c>
    </row>
    <row r="10" spans="2:15" x14ac:dyDescent="0.25">
      <c r="B10" s="2" t="s">
        <v>184</v>
      </c>
      <c r="C10" s="33">
        <v>47848</v>
      </c>
      <c r="K10" s="33"/>
    </row>
    <row r="12" spans="2:15" x14ac:dyDescent="0.25">
      <c r="C12" s="2" t="s">
        <v>185</v>
      </c>
      <c r="D12" s="2" t="s">
        <v>186</v>
      </c>
      <c r="E12" s="2" t="s">
        <v>187</v>
      </c>
      <c r="F12" s="2" t="s">
        <v>188</v>
      </c>
      <c r="K12" s="2" t="s">
        <v>185</v>
      </c>
      <c r="L12" s="2" t="s">
        <v>186</v>
      </c>
      <c r="M12" s="2" t="s">
        <v>187</v>
      </c>
      <c r="N12" s="2" t="s">
        <v>188</v>
      </c>
    </row>
    <row r="13" spans="2:15" x14ac:dyDescent="0.25">
      <c r="B13" s="33">
        <v>44927</v>
      </c>
      <c r="C13" s="24">
        <f>C4</f>
        <v>4000000</v>
      </c>
      <c r="D13" s="24">
        <f t="shared" ref="D13:D20" si="0">C13*$C$7</f>
        <v>400000</v>
      </c>
      <c r="E13" s="24">
        <f t="shared" ref="E13:E20" si="1">$F$4</f>
        <v>-749776.07029925392</v>
      </c>
      <c r="F13" s="24">
        <f t="shared" ref="F13:F20" si="2">C13+D13+E13</f>
        <v>3650223.9297007462</v>
      </c>
      <c r="G13" s="33">
        <v>45291</v>
      </c>
      <c r="J13" s="33">
        <v>44927</v>
      </c>
      <c r="K13" s="24">
        <f>K4</f>
        <v>4000000</v>
      </c>
      <c r="L13" s="24">
        <f t="shared" ref="L13:L108" si="3">K13*$K$9</f>
        <v>33333.333333333336</v>
      </c>
      <c r="M13" s="24">
        <f t="shared" ref="M13:M108" si="4">$N$4</f>
        <v>-60696.656391217322</v>
      </c>
      <c r="N13" s="24">
        <f t="shared" ref="N13:N108" si="5">K13+L13+M13</f>
        <v>3972636.6769421161</v>
      </c>
      <c r="O13" s="33">
        <v>45291</v>
      </c>
    </row>
    <row r="14" spans="2:15" x14ac:dyDescent="0.25">
      <c r="B14" s="33">
        <v>45292</v>
      </c>
      <c r="C14" s="24">
        <f t="shared" ref="C14:C20" si="6">F13</f>
        <v>3650223.9297007462</v>
      </c>
      <c r="D14" s="24">
        <f t="shared" si="0"/>
        <v>365022.39297007467</v>
      </c>
      <c r="E14" s="24">
        <f t="shared" si="1"/>
        <v>-749776.07029925392</v>
      </c>
      <c r="F14" s="24">
        <f t="shared" si="2"/>
        <v>3265470.2523715673</v>
      </c>
      <c r="G14" s="33">
        <v>45657</v>
      </c>
      <c r="J14" s="33">
        <v>44958</v>
      </c>
      <c r="K14" s="24">
        <f t="shared" ref="K14:K108" si="7">N13</f>
        <v>3972636.6769421161</v>
      </c>
      <c r="L14" s="24">
        <f t="shared" si="3"/>
        <v>33105.305641184299</v>
      </c>
      <c r="M14" s="24">
        <f t="shared" si="4"/>
        <v>-60696.656391217322</v>
      </c>
      <c r="N14" s="24">
        <f t="shared" si="5"/>
        <v>3945045.3261920828</v>
      </c>
      <c r="O14" s="33">
        <v>45657</v>
      </c>
    </row>
    <row r="15" spans="2:15" x14ac:dyDescent="0.25">
      <c r="B15" s="33">
        <v>45658</v>
      </c>
      <c r="C15" s="24">
        <f t="shared" si="6"/>
        <v>3265470.2523715673</v>
      </c>
      <c r="D15" s="24">
        <f t="shared" si="0"/>
        <v>326547.02523715678</v>
      </c>
      <c r="E15" s="24">
        <f t="shared" si="1"/>
        <v>-749776.07029925392</v>
      </c>
      <c r="F15" s="24">
        <f t="shared" si="2"/>
        <v>2842241.2073094705</v>
      </c>
      <c r="G15" s="33">
        <v>46022</v>
      </c>
      <c r="J15" s="33">
        <v>44986</v>
      </c>
      <c r="K15" s="24">
        <f t="shared" si="7"/>
        <v>3945045.3261920828</v>
      </c>
      <c r="L15" s="24">
        <f t="shared" si="3"/>
        <v>32875.377718267358</v>
      </c>
      <c r="M15" s="24">
        <f t="shared" si="4"/>
        <v>-60696.656391217322</v>
      </c>
      <c r="N15" s="24">
        <f t="shared" si="5"/>
        <v>3917224.047519133</v>
      </c>
      <c r="O15" s="33">
        <v>46022</v>
      </c>
    </row>
    <row r="16" spans="2:15" x14ac:dyDescent="0.25">
      <c r="B16" s="33">
        <v>46023</v>
      </c>
      <c r="C16" s="24">
        <f t="shared" si="6"/>
        <v>2842241.2073094705</v>
      </c>
      <c r="D16" s="24">
        <f t="shared" si="0"/>
        <v>284224.12073094706</v>
      </c>
      <c r="E16" s="24">
        <f t="shared" si="1"/>
        <v>-749776.07029925392</v>
      </c>
      <c r="F16" s="24">
        <f t="shared" si="2"/>
        <v>2376689.257741164</v>
      </c>
      <c r="G16" s="33">
        <v>46387</v>
      </c>
      <c r="J16" s="33">
        <v>45017</v>
      </c>
      <c r="K16" s="24">
        <f t="shared" si="7"/>
        <v>3917224.047519133</v>
      </c>
      <c r="L16" s="24">
        <f t="shared" si="3"/>
        <v>32643.533729326107</v>
      </c>
      <c r="M16" s="24">
        <f t="shared" si="4"/>
        <v>-60696.656391217322</v>
      </c>
      <c r="N16" s="24">
        <f t="shared" si="5"/>
        <v>3889170.9248572416</v>
      </c>
      <c r="O16" s="33">
        <v>46387</v>
      </c>
    </row>
    <row r="17" spans="2:15" x14ac:dyDescent="0.25">
      <c r="B17" s="33">
        <v>46388</v>
      </c>
      <c r="C17" s="24">
        <f t="shared" si="6"/>
        <v>2376689.257741164</v>
      </c>
      <c r="D17" s="24">
        <f t="shared" si="0"/>
        <v>237668.92577411642</v>
      </c>
      <c r="E17" s="24">
        <f t="shared" si="1"/>
        <v>-749776.07029925392</v>
      </c>
      <c r="F17" s="24">
        <f t="shared" si="2"/>
        <v>1864582.1132160267</v>
      </c>
      <c r="G17" s="33">
        <v>46752</v>
      </c>
      <c r="J17" s="33">
        <v>45047</v>
      </c>
      <c r="K17" s="24">
        <f t="shared" si="7"/>
        <v>3889170.9248572416</v>
      </c>
      <c r="L17" s="24">
        <f t="shared" si="3"/>
        <v>32409.757707143679</v>
      </c>
      <c r="M17" s="24">
        <f t="shared" si="4"/>
        <v>-60696.656391217322</v>
      </c>
      <c r="N17" s="24">
        <f t="shared" si="5"/>
        <v>3860884.0261731679</v>
      </c>
      <c r="O17" s="33">
        <v>46752</v>
      </c>
    </row>
    <row r="18" spans="2:15" x14ac:dyDescent="0.25">
      <c r="B18" s="33">
        <v>46753</v>
      </c>
      <c r="C18" s="24">
        <f t="shared" si="6"/>
        <v>1864582.1132160267</v>
      </c>
      <c r="D18" s="24">
        <f t="shared" si="0"/>
        <v>186458.21132160269</v>
      </c>
      <c r="E18" s="24">
        <f t="shared" si="1"/>
        <v>-749776.07029925392</v>
      </c>
      <c r="F18" s="24">
        <f t="shared" si="2"/>
        <v>1301264.2542383755</v>
      </c>
      <c r="G18" s="33">
        <v>47118</v>
      </c>
      <c r="J18" s="33">
        <v>45078</v>
      </c>
      <c r="K18" s="24">
        <f t="shared" si="7"/>
        <v>3860884.0261731679</v>
      </c>
      <c r="L18" s="24">
        <f t="shared" si="3"/>
        <v>32174.033551443066</v>
      </c>
      <c r="M18" s="24">
        <f t="shared" si="4"/>
        <v>-60696.656391217322</v>
      </c>
      <c r="N18" s="24">
        <f t="shared" si="5"/>
        <v>3832361.4033333934</v>
      </c>
      <c r="O18" s="33">
        <v>47118</v>
      </c>
    </row>
    <row r="19" spans="2:15" x14ac:dyDescent="0.25">
      <c r="B19" s="33">
        <v>47119</v>
      </c>
      <c r="C19" s="24">
        <f t="shared" si="6"/>
        <v>1301264.2542383755</v>
      </c>
      <c r="D19" s="24">
        <f t="shared" si="0"/>
        <v>130126.42542383756</v>
      </c>
      <c r="E19" s="24">
        <f t="shared" si="1"/>
        <v>-749776.07029925392</v>
      </c>
      <c r="F19" s="24">
        <f t="shared" si="2"/>
        <v>681614.60936295905</v>
      </c>
      <c r="G19" s="33">
        <v>47483</v>
      </c>
      <c r="J19" s="33">
        <v>45108</v>
      </c>
      <c r="K19" s="24">
        <f t="shared" si="7"/>
        <v>3832361.4033333934</v>
      </c>
      <c r="L19" s="24">
        <f t="shared" si="3"/>
        <v>31936.345027778279</v>
      </c>
      <c r="M19" s="24">
        <f t="shared" si="4"/>
        <v>-60696.656391217322</v>
      </c>
      <c r="N19" s="24">
        <f t="shared" si="5"/>
        <v>3803601.0919699543</v>
      </c>
      <c r="O19" s="33">
        <v>47483</v>
      </c>
    </row>
    <row r="20" spans="2:15" x14ac:dyDescent="0.25">
      <c r="B20" s="33">
        <v>47484</v>
      </c>
      <c r="C20" s="24">
        <f t="shared" si="6"/>
        <v>681614.60936295905</v>
      </c>
      <c r="D20" s="24">
        <f t="shared" si="0"/>
        <v>68161.460936295902</v>
      </c>
      <c r="E20" s="24">
        <f t="shared" si="1"/>
        <v>-749776.07029925392</v>
      </c>
      <c r="F20" s="24">
        <f t="shared" si="2"/>
        <v>1.0477378964424133E-9</v>
      </c>
      <c r="G20" s="33">
        <v>47848</v>
      </c>
      <c r="J20" s="33">
        <v>45139</v>
      </c>
      <c r="K20" s="24">
        <f t="shared" si="7"/>
        <v>3803601.0919699543</v>
      </c>
      <c r="L20" s="24">
        <f t="shared" si="3"/>
        <v>31696.675766416287</v>
      </c>
      <c r="M20" s="24">
        <f t="shared" si="4"/>
        <v>-60696.656391217322</v>
      </c>
      <c r="N20" s="24">
        <f t="shared" si="5"/>
        <v>3774601.1113451533</v>
      </c>
      <c r="O20" s="33">
        <v>47848</v>
      </c>
    </row>
    <row r="21" spans="2:15" ht="15.75" customHeight="1" x14ac:dyDescent="0.25">
      <c r="J21" s="33">
        <v>45170</v>
      </c>
      <c r="K21" s="24">
        <f t="shared" si="7"/>
        <v>3774601.1113451533</v>
      </c>
      <c r="L21" s="24">
        <f t="shared" si="3"/>
        <v>31455.009261209609</v>
      </c>
      <c r="M21" s="24">
        <f t="shared" si="4"/>
        <v>-60696.656391217322</v>
      </c>
      <c r="N21" s="24">
        <f t="shared" si="5"/>
        <v>3745359.4642151454</v>
      </c>
    </row>
    <row r="22" spans="2:15" ht="15.75" customHeight="1" x14ac:dyDescent="0.25">
      <c r="J22" s="33">
        <v>45200</v>
      </c>
      <c r="K22" s="24">
        <f t="shared" si="7"/>
        <v>3745359.4642151454</v>
      </c>
      <c r="L22" s="24">
        <f t="shared" si="3"/>
        <v>31211.328868459546</v>
      </c>
      <c r="M22" s="24">
        <f t="shared" si="4"/>
        <v>-60696.656391217322</v>
      </c>
      <c r="N22" s="24">
        <f t="shared" si="5"/>
        <v>3715874.1366923875</v>
      </c>
    </row>
    <row r="23" spans="2:15" ht="15.75" customHeight="1" x14ac:dyDescent="0.25">
      <c r="J23" s="33">
        <v>45231</v>
      </c>
      <c r="K23" s="24">
        <f t="shared" si="7"/>
        <v>3715874.1366923875</v>
      </c>
      <c r="L23" s="24">
        <f t="shared" si="3"/>
        <v>30965.617805769896</v>
      </c>
      <c r="M23" s="24">
        <f t="shared" si="4"/>
        <v>-60696.656391217322</v>
      </c>
      <c r="N23" s="24">
        <f t="shared" si="5"/>
        <v>3686143.0981069398</v>
      </c>
    </row>
    <row r="24" spans="2:15" ht="15.75" customHeight="1" x14ac:dyDescent="0.25">
      <c r="J24" s="33">
        <v>45261</v>
      </c>
      <c r="K24" s="24">
        <f t="shared" si="7"/>
        <v>3686143.0981069398</v>
      </c>
      <c r="L24" s="24">
        <f t="shared" si="3"/>
        <v>30717.859150891163</v>
      </c>
      <c r="M24" s="24">
        <f t="shared" si="4"/>
        <v>-60696.656391217322</v>
      </c>
      <c r="N24" s="24">
        <f t="shared" si="5"/>
        <v>3656164.3008666136</v>
      </c>
    </row>
    <row r="25" spans="2:15" ht="15.75" customHeight="1" x14ac:dyDescent="0.25">
      <c r="J25" s="33">
        <v>45292</v>
      </c>
      <c r="K25" s="24">
        <f t="shared" si="7"/>
        <v>3656164.3008666136</v>
      </c>
      <c r="L25" s="24">
        <f t="shared" si="3"/>
        <v>30468.035840555112</v>
      </c>
      <c r="M25" s="24">
        <f t="shared" si="4"/>
        <v>-60696.656391217322</v>
      </c>
      <c r="N25" s="24">
        <f t="shared" si="5"/>
        <v>3625935.6803159514</v>
      </c>
    </row>
    <row r="26" spans="2:15" ht="15.75" customHeight="1" x14ac:dyDescent="0.25">
      <c r="J26" s="33">
        <v>45323</v>
      </c>
      <c r="K26" s="24">
        <f t="shared" si="7"/>
        <v>3625935.6803159514</v>
      </c>
      <c r="L26" s="24">
        <f t="shared" si="3"/>
        <v>30216.130669299593</v>
      </c>
      <c r="M26" s="24">
        <f t="shared" si="4"/>
        <v>-60696.656391217322</v>
      </c>
      <c r="N26" s="24">
        <f t="shared" si="5"/>
        <v>3595455.1545940335</v>
      </c>
    </row>
    <row r="27" spans="2:15" ht="15.75" customHeight="1" x14ac:dyDescent="0.25">
      <c r="J27" s="33">
        <v>45352</v>
      </c>
      <c r="K27" s="24">
        <f t="shared" si="7"/>
        <v>3595455.1545940335</v>
      </c>
      <c r="L27" s="24">
        <f t="shared" si="3"/>
        <v>29962.126288283613</v>
      </c>
      <c r="M27" s="24">
        <f t="shared" si="4"/>
        <v>-60696.656391217322</v>
      </c>
      <c r="N27" s="24">
        <f t="shared" si="5"/>
        <v>3564720.6244910997</v>
      </c>
    </row>
    <row r="28" spans="2:15" ht="15.75" customHeight="1" x14ac:dyDescent="0.25">
      <c r="J28" s="33">
        <v>45383</v>
      </c>
      <c r="K28" s="24">
        <f t="shared" si="7"/>
        <v>3564720.6244910997</v>
      </c>
      <c r="L28" s="24">
        <f t="shared" si="3"/>
        <v>29706.005204092497</v>
      </c>
      <c r="M28" s="24">
        <f t="shared" si="4"/>
        <v>-60696.656391217322</v>
      </c>
      <c r="N28" s="24">
        <f t="shared" si="5"/>
        <v>3533729.9733039751</v>
      </c>
    </row>
    <row r="29" spans="2:15" ht="15.75" customHeight="1" x14ac:dyDescent="0.25">
      <c r="J29" s="33">
        <v>45413</v>
      </c>
      <c r="K29" s="24">
        <f t="shared" si="7"/>
        <v>3533729.9733039751</v>
      </c>
      <c r="L29" s="24">
        <f t="shared" si="3"/>
        <v>29447.749777533125</v>
      </c>
      <c r="M29" s="24">
        <f t="shared" si="4"/>
        <v>-60696.656391217322</v>
      </c>
      <c r="N29" s="24">
        <f t="shared" si="5"/>
        <v>3502481.0666902908</v>
      </c>
    </row>
    <row r="30" spans="2:15" ht="15.75" customHeight="1" x14ac:dyDescent="0.25">
      <c r="J30" s="33">
        <v>45444</v>
      </c>
      <c r="K30" s="24">
        <f t="shared" si="7"/>
        <v>3502481.0666902908</v>
      </c>
      <c r="L30" s="24">
        <f t="shared" si="3"/>
        <v>29187.342222419091</v>
      </c>
      <c r="M30" s="24">
        <f t="shared" si="4"/>
        <v>-60696.656391217322</v>
      </c>
      <c r="N30" s="24">
        <f t="shared" si="5"/>
        <v>3470971.7525214925</v>
      </c>
    </row>
    <row r="31" spans="2:15" ht="15.75" customHeight="1" x14ac:dyDescent="0.25">
      <c r="J31" s="33">
        <v>45474</v>
      </c>
      <c r="K31" s="24">
        <f t="shared" si="7"/>
        <v>3470971.7525214925</v>
      </c>
      <c r="L31" s="24">
        <f t="shared" si="3"/>
        <v>28924.764604345772</v>
      </c>
      <c r="M31" s="24">
        <f t="shared" si="4"/>
        <v>-60696.656391217322</v>
      </c>
      <c r="N31" s="24">
        <f t="shared" si="5"/>
        <v>3439199.8607346211</v>
      </c>
    </row>
    <row r="32" spans="2:15" ht="15.75" customHeight="1" x14ac:dyDescent="0.25">
      <c r="J32" s="33">
        <v>45505</v>
      </c>
      <c r="K32" s="24">
        <f t="shared" si="7"/>
        <v>3439199.8607346211</v>
      </c>
      <c r="L32" s="24">
        <f t="shared" si="3"/>
        <v>28659.998839455176</v>
      </c>
      <c r="M32" s="24">
        <f t="shared" si="4"/>
        <v>-60696.656391217322</v>
      </c>
      <c r="N32" s="24">
        <f t="shared" si="5"/>
        <v>3407163.2031828589</v>
      </c>
    </row>
    <row r="33" spans="10:14" ht="15.75" customHeight="1" x14ac:dyDescent="0.25">
      <c r="J33" s="33">
        <v>45536</v>
      </c>
      <c r="K33" s="24">
        <f t="shared" si="7"/>
        <v>3407163.2031828589</v>
      </c>
      <c r="L33" s="24">
        <f t="shared" si="3"/>
        <v>28393.026693190492</v>
      </c>
      <c r="M33" s="24">
        <f t="shared" si="4"/>
        <v>-60696.656391217322</v>
      </c>
      <c r="N33" s="24">
        <f t="shared" si="5"/>
        <v>3374859.573484832</v>
      </c>
    </row>
    <row r="34" spans="10:14" ht="15.75" customHeight="1" x14ac:dyDescent="0.25">
      <c r="J34" s="33">
        <v>45566</v>
      </c>
      <c r="K34" s="24">
        <f t="shared" si="7"/>
        <v>3374859.573484832</v>
      </c>
      <c r="L34" s="24">
        <f t="shared" si="3"/>
        <v>28123.829779040265</v>
      </c>
      <c r="M34" s="24">
        <f t="shared" si="4"/>
        <v>-60696.656391217322</v>
      </c>
      <c r="N34" s="24">
        <f t="shared" si="5"/>
        <v>3342286.7468726547</v>
      </c>
    </row>
    <row r="35" spans="10:14" ht="15.75" customHeight="1" x14ac:dyDescent="0.25">
      <c r="J35" s="33">
        <v>45597</v>
      </c>
      <c r="K35" s="24">
        <f t="shared" si="7"/>
        <v>3342286.7468726547</v>
      </c>
      <c r="L35" s="24">
        <f t="shared" si="3"/>
        <v>27852.389557272123</v>
      </c>
      <c r="M35" s="24">
        <f t="shared" si="4"/>
        <v>-60696.656391217322</v>
      </c>
      <c r="N35" s="24">
        <f t="shared" si="5"/>
        <v>3309442.4800387095</v>
      </c>
    </row>
    <row r="36" spans="10:14" ht="15.75" customHeight="1" x14ac:dyDescent="0.25">
      <c r="J36" s="33">
        <v>45627</v>
      </c>
      <c r="K36" s="24">
        <f t="shared" si="7"/>
        <v>3309442.4800387095</v>
      </c>
      <c r="L36" s="24">
        <f t="shared" si="3"/>
        <v>27578.687333655911</v>
      </c>
      <c r="M36" s="24">
        <f t="shared" si="4"/>
        <v>-60696.656391217322</v>
      </c>
      <c r="N36" s="24">
        <f t="shared" si="5"/>
        <v>3276324.5109811481</v>
      </c>
    </row>
    <row r="37" spans="10:14" ht="15.75" customHeight="1" x14ac:dyDescent="0.25">
      <c r="J37" s="33">
        <v>45658</v>
      </c>
      <c r="K37" s="24">
        <f t="shared" si="7"/>
        <v>3276324.5109811481</v>
      </c>
      <c r="L37" s="24">
        <f t="shared" si="3"/>
        <v>27302.704258176233</v>
      </c>
      <c r="M37" s="24">
        <f t="shared" si="4"/>
        <v>-60696.656391217322</v>
      </c>
      <c r="N37" s="24">
        <f t="shared" si="5"/>
        <v>3242930.5588481068</v>
      </c>
    </row>
    <row r="38" spans="10:14" ht="15.75" customHeight="1" x14ac:dyDescent="0.25">
      <c r="J38" s="33">
        <v>45689</v>
      </c>
      <c r="K38" s="24">
        <f t="shared" si="7"/>
        <v>3242930.5588481068</v>
      </c>
      <c r="L38" s="24">
        <f t="shared" si="3"/>
        <v>27024.421323734223</v>
      </c>
      <c r="M38" s="24">
        <f t="shared" si="4"/>
        <v>-60696.656391217322</v>
      </c>
      <c r="N38" s="24">
        <f t="shared" si="5"/>
        <v>3209258.3237806237</v>
      </c>
    </row>
    <row r="39" spans="10:14" ht="15.75" customHeight="1" x14ac:dyDescent="0.25">
      <c r="J39" s="33">
        <v>45717</v>
      </c>
      <c r="K39" s="24">
        <f t="shared" si="7"/>
        <v>3209258.3237806237</v>
      </c>
      <c r="L39" s="24">
        <f t="shared" si="3"/>
        <v>26743.819364838531</v>
      </c>
      <c r="M39" s="24">
        <f t="shared" si="4"/>
        <v>-60696.656391217322</v>
      </c>
      <c r="N39" s="24">
        <f t="shared" si="5"/>
        <v>3175305.4867542447</v>
      </c>
    </row>
    <row r="40" spans="10:14" ht="15.75" customHeight="1" x14ac:dyDescent="0.25">
      <c r="J40" s="33">
        <v>45748</v>
      </c>
      <c r="K40" s="24">
        <f t="shared" si="7"/>
        <v>3175305.4867542447</v>
      </c>
      <c r="L40" s="24">
        <f t="shared" si="3"/>
        <v>26460.879056285372</v>
      </c>
      <c r="M40" s="24">
        <f t="shared" si="4"/>
        <v>-60696.656391217322</v>
      </c>
      <c r="N40" s="24">
        <f t="shared" si="5"/>
        <v>3141069.7094193129</v>
      </c>
    </row>
    <row r="41" spans="10:14" ht="15.75" customHeight="1" x14ac:dyDescent="0.25">
      <c r="J41" s="33">
        <v>45778</v>
      </c>
      <c r="K41" s="24">
        <f t="shared" si="7"/>
        <v>3141069.7094193129</v>
      </c>
      <c r="L41" s="24">
        <f t="shared" si="3"/>
        <v>26175.580911827608</v>
      </c>
      <c r="M41" s="24">
        <f t="shared" si="4"/>
        <v>-60696.656391217322</v>
      </c>
      <c r="N41" s="24">
        <f t="shared" si="5"/>
        <v>3106548.6339399233</v>
      </c>
    </row>
    <row r="42" spans="10:14" ht="15.75" customHeight="1" x14ac:dyDescent="0.25">
      <c r="J42" s="33">
        <v>45809</v>
      </c>
      <c r="K42" s="24">
        <f t="shared" si="7"/>
        <v>3106548.6339399233</v>
      </c>
      <c r="L42" s="24">
        <f t="shared" si="3"/>
        <v>25887.905282832693</v>
      </c>
      <c r="M42" s="24">
        <f t="shared" si="4"/>
        <v>-60696.656391217322</v>
      </c>
      <c r="N42" s="24">
        <f t="shared" si="5"/>
        <v>3071739.8828315386</v>
      </c>
    </row>
    <row r="43" spans="10:14" ht="15.75" customHeight="1" x14ac:dyDescent="0.25">
      <c r="J43" s="33">
        <v>45839</v>
      </c>
      <c r="K43" s="24">
        <f t="shared" si="7"/>
        <v>3071739.8828315386</v>
      </c>
      <c r="L43" s="24">
        <f t="shared" si="3"/>
        <v>25597.832356929488</v>
      </c>
      <c r="M43" s="24">
        <f t="shared" si="4"/>
        <v>-60696.656391217322</v>
      </c>
      <c r="N43" s="24">
        <f t="shared" si="5"/>
        <v>3036641.0587972505</v>
      </c>
    </row>
    <row r="44" spans="10:14" ht="15.75" customHeight="1" x14ac:dyDescent="0.25">
      <c r="J44" s="33">
        <v>45870</v>
      </c>
      <c r="K44" s="24">
        <f t="shared" si="7"/>
        <v>3036641.0587972505</v>
      </c>
      <c r="L44" s="24">
        <f t="shared" si="3"/>
        <v>25305.342156643754</v>
      </c>
      <c r="M44" s="24">
        <f t="shared" si="4"/>
        <v>-60696.656391217322</v>
      </c>
      <c r="N44" s="24">
        <f t="shared" si="5"/>
        <v>3001249.7445626771</v>
      </c>
    </row>
    <row r="45" spans="10:14" ht="15.75" customHeight="1" x14ac:dyDescent="0.25">
      <c r="J45" s="33">
        <v>45901</v>
      </c>
      <c r="K45" s="24">
        <f t="shared" si="7"/>
        <v>3001249.7445626771</v>
      </c>
      <c r="L45" s="24">
        <f t="shared" si="3"/>
        <v>25010.414538022309</v>
      </c>
      <c r="M45" s="24">
        <f t="shared" si="4"/>
        <v>-60696.656391217322</v>
      </c>
      <c r="N45" s="24">
        <f t="shared" si="5"/>
        <v>2965563.5027094819</v>
      </c>
    </row>
    <row r="46" spans="10:14" ht="15.75" customHeight="1" x14ac:dyDescent="0.25">
      <c r="J46" s="33">
        <v>45931</v>
      </c>
      <c r="K46" s="24">
        <f t="shared" si="7"/>
        <v>2965563.5027094819</v>
      </c>
      <c r="L46" s="24">
        <f t="shared" si="3"/>
        <v>24713.029189245681</v>
      </c>
      <c r="M46" s="24">
        <f t="shared" si="4"/>
        <v>-60696.656391217322</v>
      </c>
      <c r="N46" s="24">
        <f t="shared" si="5"/>
        <v>2929579.8755075103</v>
      </c>
    </row>
    <row r="47" spans="10:14" ht="15.75" customHeight="1" x14ac:dyDescent="0.25">
      <c r="J47" s="33">
        <v>45962</v>
      </c>
      <c r="K47" s="24">
        <f t="shared" si="7"/>
        <v>2929579.8755075103</v>
      </c>
      <c r="L47" s="24">
        <f t="shared" si="3"/>
        <v>24413.165629229254</v>
      </c>
      <c r="M47" s="24">
        <f t="shared" si="4"/>
        <v>-60696.656391217322</v>
      </c>
      <c r="N47" s="24">
        <f t="shared" si="5"/>
        <v>2893296.3847455219</v>
      </c>
    </row>
    <row r="48" spans="10:14" ht="15.75" customHeight="1" x14ac:dyDescent="0.25">
      <c r="J48" s="33">
        <v>45992</v>
      </c>
      <c r="K48" s="24">
        <f t="shared" si="7"/>
        <v>2893296.3847455219</v>
      </c>
      <c r="L48" s="24">
        <f t="shared" si="3"/>
        <v>24110.803206212684</v>
      </c>
      <c r="M48" s="24">
        <f t="shared" si="4"/>
        <v>-60696.656391217322</v>
      </c>
      <c r="N48" s="24">
        <f t="shared" si="5"/>
        <v>2856710.5315605174</v>
      </c>
    </row>
    <row r="49" spans="10:14" ht="15.75" customHeight="1" x14ac:dyDescent="0.25">
      <c r="J49" s="33">
        <v>46023</v>
      </c>
      <c r="K49" s="24">
        <f t="shared" si="7"/>
        <v>2856710.5315605174</v>
      </c>
      <c r="L49" s="24">
        <f t="shared" si="3"/>
        <v>23805.921096337646</v>
      </c>
      <c r="M49" s="24">
        <f t="shared" si="4"/>
        <v>-60696.656391217322</v>
      </c>
      <c r="N49" s="24">
        <f t="shared" si="5"/>
        <v>2819819.7962656375</v>
      </c>
    </row>
    <row r="50" spans="10:14" ht="15.75" customHeight="1" x14ac:dyDescent="0.25">
      <c r="J50" s="33">
        <v>46054</v>
      </c>
      <c r="K50" s="24">
        <f t="shared" si="7"/>
        <v>2819819.7962656375</v>
      </c>
      <c r="L50" s="24">
        <f t="shared" si="3"/>
        <v>23498.498302213644</v>
      </c>
      <c r="M50" s="24">
        <f t="shared" si="4"/>
        <v>-60696.656391217322</v>
      </c>
      <c r="N50" s="24">
        <f t="shared" si="5"/>
        <v>2782621.638176634</v>
      </c>
    </row>
    <row r="51" spans="10:14" ht="15.75" customHeight="1" x14ac:dyDescent="0.25">
      <c r="J51" s="33">
        <v>46082</v>
      </c>
      <c r="K51" s="24">
        <f t="shared" si="7"/>
        <v>2782621.638176634</v>
      </c>
      <c r="L51" s="24">
        <f t="shared" si="3"/>
        <v>23188.513651471949</v>
      </c>
      <c r="M51" s="24">
        <f t="shared" si="4"/>
        <v>-60696.656391217322</v>
      </c>
      <c r="N51" s="24">
        <f t="shared" si="5"/>
        <v>2745113.4954368887</v>
      </c>
    </row>
    <row r="52" spans="10:14" ht="15.75" customHeight="1" x14ac:dyDescent="0.25">
      <c r="J52" s="33">
        <v>46113</v>
      </c>
      <c r="K52" s="24">
        <f t="shared" si="7"/>
        <v>2745113.4954368887</v>
      </c>
      <c r="L52" s="24">
        <f t="shared" si="3"/>
        <v>22875.945795307405</v>
      </c>
      <c r="M52" s="24">
        <f t="shared" si="4"/>
        <v>-60696.656391217322</v>
      </c>
      <c r="N52" s="24">
        <f t="shared" si="5"/>
        <v>2707292.7848409787</v>
      </c>
    </row>
    <row r="53" spans="10:14" ht="15.75" customHeight="1" x14ac:dyDescent="0.25">
      <c r="J53" s="33">
        <v>46143</v>
      </c>
      <c r="K53" s="24">
        <f t="shared" si="7"/>
        <v>2707292.7848409787</v>
      </c>
      <c r="L53" s="24">
        <f t="shared" si="3"/>
        <v>22560.773207008155</v>
      </c>
      <c r="M53" s="24">
        <f t="shared" si="4"/>
        <v>-60696.656391217322</v>
      </c>
      <c r="N53" s="24">
        <f t="shared" si="5"/>
        <v>2669156.9016567697</v>
      </c>
    </row>
    <row r="54" spans="10:14" ht="15.75" customHeight="1" x14ac:dyDescent="0.25">
      <c r="J54" s="33">
        <v>46174</v>
      </c>
      <c r="K54" s="24">
        <f t="shared" si="7"/>
        <v>2669156.9016567697</v>
      </c>
      <c r="L54" s="24">
        <f t="shared" si="3"/>
        <v>22242.97418047308</v>
      </c>
      <c r="M54" s="24">
        <f t="shared" si="4"/>
        <v>-60696.656391217322</v>
      </c>
      <c r="N54" s="24">
        <f t="shared" si="5"/>
        <v>2630703.2194460253</v>
      </c>
    </row>
    <row r="55" spans="10:14" ht="15.75" customHeight="1" x14ac:dyDescent="0.25">
      <c r="J55" s="33">
        <v>46204</v>
      </c>
      <c r="K55" s="24">
        <f t="shared" si="7"/>
        <v>2630703.2194460253</v>
      </c>
      <c r="L55" s="24">
        <f t="shared" si="3"/>
        <v>21922.526828716876</v>
      </c>
      <c r="M55" s="24">
        <f t="shared" si="4"/>
        <v>-60696.656391217322</v>
      </c>
      <c r="N55" s="24">
        <f t="shared" si="5"/>
        <v>2591929.0898835249</v>
      </c>
    </row>
    <row r="56" spans="10:14" ht="15.75" customHeight="1" x14ac:dyDescent="0.25">
      <c r="J56" s="33">
        <v>46235</v>
      </c>
      <c r="K56" s="24">
        <f t="shared" si="7"/>
        <v>2591929.0898835249</v>
      </c>
      <c r="L56" s="24">
        <f t="shared" si="3"/>
        <v>21599.409082362708</v>
      </c>
      <c r="M56" s="24">
        <f t="shared" si="4"/>
        <v>-60696.656391217322</v>
      </c>
      <c r="N56" s="24">
        <f t="shared" si="5"/>
        <v>2552831.8425746704</v>
      </c>
    </row>
    <row r="57" spans="10:14" ht="15.75" customHeight="1" x14ac:dyDescent="0.25">
      <c r="J57" s="33">
        <v>46266</v>
      </c>
      <c r="K57" s="24">
        <f t="shared" si="7"/>
        <v>2552831.8425746704</v>
      </c>
      <c r="L57" s="24">
        <f t="shared" si="3"/>
        <v>21273.598688122252</v>
      </c>
      <c r="M57" s="24">
        <f t="shared" si="4"/>
        <v>-60696.656391217322</v>
      </c>
      <c r="N57" s="24">
        <f t="shared" si="5"/>
        <v>2513408.7848715754</v>
      </c>
    </row>
    <row r="58" spans="10:14" ht="15.75" customHeight="1" x14ac:dyDescent="0.25">
      <c r="J58" s="33">
        <v>46296</v>
      </c>
      <c r="K58" s="24">
        <f t="shared" si="7"/>
        <v>2513408.7848715754</v>
      </c>
      <c r="L58" s="24">
        <f t="shared" si="3"/>
        <v>20945.073207263129</v>
      </c>
      <c r="M58" s="24">
        <f t="shared" si="4"/>
        <v>-60696.656391217322</v>
      </c>
      <c r="N58" s="24">
        <f t="shared" si="5"/>
        <v>2473657.201687621</v>
      </c>
    </row>
    <row r="59" spans="10:14" ht="15.75" customHeight="1" x14ac:dyDescent="0.25">
      <c r="J59" s="33">
        <v>46327</v>
      </c>
      <c r="K59" s="24">
        <f t="shared" si="7"/>
        <v>2473657.201687621</v>
      </c>
      <c r="L59" s="24">
        <f t="shared" si="3"/>
        <v>20613.810014063507</v>
      </c>
      <c r="M59" s="24">
        <f t="shared" si="4"/>
        <v>-60696.656391217322</v>
      </c>
      <c r="N59" s="24">
        <f t="shared" si="5"/>
        <v>2433574.3553104671</v>
      </c>
    </row>
    <row r="60" spans="10:14" ht="15.75" customHeight="1" x14ac:dyDescent="0.25">
      <c r="J60" s="33">
        <v>46357</v>
      </c>
      <c r="K60" s="24">
        <f t="shared" si="7"/>
        <v>2433574.3553104671</v>
      </c>
      <c r="L60" s="24">
        <f t="shared" si="3"/>
        <v>20279.786294253892</v>
      </c>
      <c r="M60" s="24">
        <f t="shared" si="4"/>
        <v>-60696.656391217322</v>
      </c>
      <c r="N60" s="24">
        <f t="shared" si="5"/>
        <v>2393157.4852135037</v>
      </c>
    </row>
    <row r="61" spans="10:14" ht="15.75" customHeight="1" x14ac:dyDescent="0.25">
      <c r="J61" s="33">
        <v>46388</v>
      </c>
      <c r="K61" s="24">
        <f t="shared" si="7"/>
        <v>2393157.4852135037</v>
      </c>
      <c r="L61" s="24">
        <f t="shared" si="3"/>
        <v>19942.979043445863</v>
      </c>
      <c r="M61" s="24">
        <f t="shared" si="4"/>
        <v>-60696.656391217322</v>
      </c>
      <c r="N61" s="24">
        <f t="shared" si="5"/>
        <v>2352403.8078657323</v>
      </c>
    </row>
    <row r="62" spans="10:14" ht="15.75" customHeight="1" x14ac:dyDescent="0.25">
      <c r="J62" s="33">
        <v>46419</v>
      </c>
      <c r="K62" s="24">
        <f t="shared" si="7"/>
        <v>2352403.8078657323</v>
      </c>
      <c r="L62" s="24">
        <f t="shared" si="3"/>
        <v>19603.365065547769</v>
      </c>
      <c r="M62" s="24">
        <f t="shared" si="4"/>
        <v>-60696.656391217322</v>
      </c>
      <c r="N62" s="24">
        <f t="shared" si="5"/>
        <v>2311310.5165400626</v>
      </c>
    </row>
    <row r="63" spans="10:14" ht="15.75" customHeight="1" x14ac:dyDescent="0.25">
      <c r="J63" s="33">
        <v>46447</v>
      </c>
      <c r="K63" s="24">
        <f t="shared" si="7"/>
        <v>2311310.5165400626</v>
      </c>
      <c r="L63" s="24">
        <f t="shared" si="3"/>
        <v>19260.920971167187</v>
      </c>
      <c r="M63" s="24">
        <f t="shared" si="4"/>
        <v>-60696.656391217322</v>
      </c>
      <c r="N63" s="24">
        <f t="shared" si="5"/>
        <v>2269874.7811200125</v>
      </c>
    </row>
    <row r="64" spans="10:14" ht="15.75" customHeight="1" x14ac:dyDescent="0.25">
      <c r="J64" s="33">
        <v>46478</v>
      </c>
      <c r="K64" s="24">
        <f t="shared" si="7"/>
        <v>2269874.7811200125</v>
      </c>
      <c r="L64" s="24">
        <f t="shared" si="3"/>
        <v>18915.623176000103</v>
      </c>
      <c r="M64" s="24">
        <f t="shared" si="4"/>
        <v>-60696.656391217322</v>
      </c>
      <c r="N64" s="24">
        <f t="shared" si="5"/>
        <v>2228093.7479047952</v>
      </c>
    </row>
    <row r="65" spans="10:14" ht="15.75" customHeight="1" x14ac:dyDescent="0.25">
      <c r="J65" s="33">
        <v>46508</v>
      </c>
      <c r="K65" s="24">
        <f t="shared" si="7"/>
        <v>2228093.7479047952</v>
      </c>
      <c r="L65" s="24">
        <f t="shared" si="3"/>
        <v>18567.447899206625</v>
      </c>
      <c r="M65" s="24">
        <f t="shared" si="4"/>
        <v>-60696.656391217322</v>
      </c>
      <c r="N65" s="24">
        <f t="shared" si="5"/>
        <v>2185964.5394127844</v>
      </c>
    </row>
    <row r="66" spans="10:14" ht="15.75" customHeight="1" x14ac:dyDescent="0.25">
      <c r="J66" s="33">
        <v>46539</v>
      </c>
      <c r="K66" s="24">
        <f t="shared" si="7"/>
        <v>2185964.5394127844</v>
      </c>
      <c r="L66" s="24">
        <f t="shared" si="3"/>
        <v>18216.371161773204</v>
      </c>
      <c r="M66" s="24">
        <f t="shared" si="4"/>
        <v>-60696.656391217322</v>
      </c>
      <c r="N66" s="24">
        <f t="shared" si="5"/>
        <v>2143484.2541833404</v>
      </c>
    </row>
    <row r="67" spans="10:14" ht="15.75" customHeight="1" x14ac:dyDescent="0.25">
      <c r="J67" s="33">
        <v>46569</v>
      </c>
      <c r="K67" s="24">
        <f t="shared" si="7"/>
        <v>2143484.2541833404</v>
      </c>
      <c r="L67" s="24">
        <f t="shared" si="3"/>
        <v>17862.36878486117</v>
      </c>
      <c r="M67" s="24">
        <f t="shared" si="4"/>
        <v>-60696.656391217322</v>
      </c>
      <c r="N67" s="24">
        <f t="shared" si="5"/>
        <v>2100649.9665769842</v>
      </c>
    </row>
    <row r="68" spans="10:14" ht="15.75" customHeight="1" x14ac:dyDescent="0.25">
      <c r="J68" s="33">
        <v>46600</v>
      </c>
      <c r="K68" s="24">
        <f t="shared" si="7"/>
        <v>2100649.9665769842</v>
      </c>
      <c r="L68" s="24">
        <f t="shared" si="3"/>
        <v>17505.416388141533</v>
      </c>
      <c r="M68" s="24">
        <f t="shared" si="4"/>
        <v>-60696.656391217322</v>
      </c>
      <c r="N68" s="24">
        <f t="shared" si="5"/>
        <v>2057458.7265739082</v>
      </c>
    </row>
    <row r="69" spans="10:14" ht="15.75" customHeight="1" x14ac:dyDescent="0.25">
      <c r="J69" s="33">
        <v>46631</v>
      </c>
      <c r="K69" s="24">
        <f t="shared" si="7"/>
        <v>2057458.7265739082</v>
      </c>
      <c r="L69" s="24">
        <f t="shared" si="3"/>
        <v>17145.489388115901</v>
      </c>
      <c r="M69" s="24">
        <f t="shared" si="4"/>
        <v>-60696.656391217322</v>
      </c>
      <c r="N69" s="24">
        <f t="shared" si="5"/>
        <v>2013907.5595708068</v>
      </c>
    </row>
    <row r="70" spans="10:14" ht="15.75" customHeight="1" x14ac:dyDescent="0.25">
      <c r="J70" s="33">
        <v>46661</v>
      </c>
      <c r="K70" s="24">
        <f t="shared" si="7"/>
        <v>2013907.5595708068</v>
      </c>
      <c r="L70" s="24">
        <f t="shared" si="3"/>
        <v>16782.562996423389</v>
      </c>
      <c r="M70" s="24">
        <f t="shared" si="4"/>
        <v>-60696.656391217322</v>
      </c>
      <c r="N70" s="24">
        <f t="shared" si="5"/>
        <v>1969993.4661760128</v>
      </c>
    </row>
    <row r="71" spans="10:14" ht="15.75" customHeight="1" x14ac:dyDescent="0.25">
      <c r="J71" s="33">
        <v>46692</v>
      </c>
      <c r="K71" s="24">
        <f t="shared" si="7"/>
        <v>1969993.4661760128</v>
      </c>
      <c r="L71" s="24">
        <f t="shared" si="3"/>
        <v>16416.612218133439</v>
      </c>
      <c r="M71" s="24">
        <f t="shared" si="4"/>
        <v>-60696.656391217322</v>
      </c>
      <c r="N71" s="24">
        <f t="shared" si="5"/>
        <v>1925713.4220029288</v>
      </c>
    </row>
    <row r="72" spans="10:14" ht="15.75" customHeight="1" x14ac:dyDescent="0.25">
      <c r="J72" s="33">
        <v>46722</v>
      </c>
      <c r="K72" s="24">
        <f t="shared" si="7"/>
        <v>1925713.4220029288</v>
      </c>
      <c r="L72" s="24">
        <f t="shared" si="3"/>
        <v>16047.611850024407</v>
      </c>
      <c r="M72" s="24">
        <f t="shared" si="4"/>
        <v>-60696.656391217322</v>
      </c>
      <c r="N72" s="24">
        <f t="shared" si="5"/>
        <v>1881064.3774617359</v>
      </c>
    </row>
    <row r="73" spans="10:14" ht="15.75" customHeight="1" x14ac:dyDescent="0.25">
      <c r="J73" s="33">
        <v>46753</v>
      </c>
      <c r="K73" s="24">
        <f t="shared" si="7"/>
        <v>1881064.3774617359</v>
      </c>
      <c r="L73" s="24">
        <f t="shared" si="3"/>
        <v>15675.536478847798</v>
      </c>
      <c r="M73" s="24">
        <f t="shared" si="4"/>
        <v>-60696.656391217322</v>
      </c>
      <c r="N73" s="24">
        <f t="shared" si="5"/>
        <v>1836043.2575493662</v>
      </c>
    </row>
    <row r="74" spans="10:14" ht="15.75" customHeight="1" x14ac:dyDescent="0.25">
      <c r="J74" s="33">
        <v>46784</v>
      </c>
      <c r="K74" s="24">
        <f t="shared" si="7"/>
        <v>1836043.2575493662</v>
      </c>
      <c r="L74" s="24">
        <f t="shared" si="3"/>
        <v>15300.360479578052</v>
      </c>
      <c r="M74" s="24">
        <f t="shared" si="4"/>
        <v>-60696.656391217322</v>
      </c>
      <c r="N74" s="24">
        <f t="shared" si="5"/>
        <v>1790646.961637727</v>
      </c>
    </row>
    <row r="75" spans="10:14" ht="15.75" customHeight="1" x14ac:dyDescent="0.25">
      <c r="J75" s="33">
        <v>46813</v>
      </c>
      <c r="K75" s="24">
        <f t="shared" si="7"/>
        <v>1790646.961637727</v>
      </c>
      <c r="L75" s="24">
        <f t="shared" si="3"/>
        <v>14922.058013647724</v>
      </c>
      <c r="M75" s="24">
        <f t="shared" si="4"/>
        <v>-60696.656391217322</v>
      </c>
      <c r="N75" s="24">
        <f t="shared" si="5"/>
        <v>1744872.3632601574</v>
      </c>
    </row>
    <row r="76" spans="10:14" ht="15.75" customHeight="1" x14ac:dyDescent="0.25">
      <c r="J76" s="33">
        <v>46844</v>
      </c>
      <c r="K76" s="24">
        <f t="shared" si="7"/>
        <v>1744872.3632601574</v>
      </c>
      <c r="L76" s="24">
        <f t="shared" si="3"/>
        <v>14540.603027167977</v>
      </c>
      <c r="M76" s="24">
        <f t="shared" si="4"/>
        <v>-60696.656391217322</v>
      </c>
      <c r="N76" s="24">
        <f t="shared" si="5"/>
        <v>1698716.309896108</v>
      </c>
    </row>
    <row r="77" spans="10:14" ht="15.75" customHeight="1" x14ac:dyDescent="0.25">
      <c r="J77" s="33">
        <v>46874</v>
      </c>
      <c r="K77" s="24">
        <f t="shared" si="7"/>
        <v>1698716.309896108</v>
      </c>
      <c r="L77" s="24">
        <f t="shared" si="3"/>
        <v>14155.969249134234</v>
      </c>
      <c r="M77" s="24">
        <f t="shared" si="4"/>
        <v>-60696.656391217322</v>
      </c>
      <c r="N77" s="24">
        <f t="shared" si="5"/>
        <v>1652175.6227540248</v>
      </c>
    </row>
    <row r="78" spans="10:14" ht="15.75" customHeight="1" x14ac:dyDescent="0.25">
      <c r="J78" s="33">
        <v>46905</v>
      </c>
      <c r="K78" s="24">
        <f t="shared" si="7"/>
        <v>1652175.6227540248</v>
      </c>
      <c r="L78" s="24">
        <f t="shared" si="3"/>
        <v>13768.130189616873</v>
      </c>
      <c r="M78" s="24">
        <f t="shared" si="4"/>
        <v>-60696.656391217322</v>
      </c>
      <c r="N78" s="24">
        <f t="shared" si="5"/>
        <v>1605247.0965524244</v>
      </c>
    </row>
    <row r="79" spans="10:14" ht="15.75" customHeight="1" x14ac:dyDescent="0.25">
      <c r="J79" s="33">
        <v>46935</v>
      </c>
      <c r="K79" s="24">
        <f t="shared" si="7"/>
        <v>1605247.0965524244</v>
      </c>
      <c r="L79" s="24">
        <f t="shared" si="3"/>
        <v>13377.059137936869</v>
      </c>
      <c r="M79" s="24">
        <f t="shared" si="4"/>
        <v>-60696.656391217322</v>
      </c>
      <c r="N79" s="24">
        <f t="shared" si="5"/>
        <v>1557927.4992991439</v>
      </c>
    </row>
    <row r="80" spans="10:14" ht="15.75" customHeight="1" x14ac:dyDescent="0.25">
      <c r="J80" s="33">
        <v>46966</v>
      </c>
      <c r="K80" s="24">
        <f t="shared" si="7"/>
        <v>1557927.4992991439</v>
      </c>
      <c r="L80" s="24">
        <f t="shared" si="3"/>
        <v>12982.729160826198</v>
      </c>
      <c r="M80" s="24">
        <f t="shared" si="4"/>
        <v>-60696.656391217322</v>
      </c>
      <c r="N80" s="24">
        <f t="shared" si="5"/>
        <v>1510213.5720687527</v>
      </c>
    </row>
    <row r="81" spans="10:14" ht="15.75" customHeight="1" x14ac:dyDescent="0.25">
      <c r="J81" s="33">
        <v>46997</v>
      </c>
      <c r="K81" s="24">
        <f t="shared" si="7"/>
        <v>1510213.5720687527</v>
      </c>
      <c r="L81" s="24">
        <f t="shared" si="3"/>
        <v>12585.113100572938</v>
      </c>
      <c r="M81" s="24">
        <f t="shared" si="4"/>
        <v>-60696.656391217322</v>
      </c>
      <c r="N81" s="24">
        <f t="shared" si="5"/>
        <v>1462102.0287781083</v>
      </c>
    </row>
    <row r="82" spans="10:14" ht="15.75" customHeight="1" x14ac:dyDescent="0.25">
      <c r="J82" s="33">
        <v>47027</v>
      </c>
      <c r="K82" s="24">
        <f t="shared" si="7"/>
        <v>1462102.0287781083</v>
      </c>
      <c r="L82" s="24">
        <f t="shared" si="3"/>
        <v>12184.183573150902</v>
      </c>
      <c r="M82" s="24">
        <f t="shared" si="4"/>
        <v>-60696.656391217322</v>
      </c>
      <c r="N82" s="24">
        <f t="shared" si="5"/>
        <v>1413589.5559600419</v>
      </c>
    </row>
    <row r="83" spans="10:14" ht="15.75" customHeight="1" x14ac:dyDescent="0.25">
      <c r="J83" s="33">
        <v>47058</v>
      </c>
      <c r="K83" s="24">
        <f t="shared" si="7"/>
        <v>1413589.5559600419</v>
      </c>
      <c r="L83" s="24">
        <f t="shared" si="3"/>
        <v>11779.912966333683</v>
      </c>
      <c r="M83" s="24">
        <f t="shared" si="4"/>
        <v>-60696.656391217322</v>
      </c>
      <c r="N83" s="24">
        <f t="shared" si="5"/>
        <v>1364672.8125351584</v>
      </c>
    </row>
    <row r="84" spans="10:14" ht="15.75" customHeight="1" x14ac:dyDescent="0.25">
      <c r="J84" s="33">
        <v>47088</v>
      </c>
      <c r="K84" s="24">
        <f t="shared" si="7"/>
        <v>1364672.8125351584</v>
      </c>
      <c r="L84" s="24">
        <f t="shared" si="3"/>
        <v>11372.273437792986</v>
      </c>
      <c r="M84" s="24">
        <f t="shared" si="4"/>
        <v>-60696.656391217322</v>
      </c>
      <c r="N84" s="24">
        <f t="shared" si="5"/>
        <v>1315348.4295817339</v>
      </c>
    </row>
    <row r="85" spans="10:14" ht="15.75" customHeight="1" x14ac:dyDescent="0.25">
      <c r="J85" s="33">
        <v>47119</v>
      </c>
      <c r="K85" s="24">
        <f t="shared" si="7"/>
        <v>1315348.4295817339</v>
      </c>
      <c r="L85" s="24">
        <f t="shared" si="3"/>
        <v>10961.236913181116</v>
      </c>
      <c r="M85" s="24">
        <f t="shared" si="4"/>
        <v>-60696.656391217322</v>
      </c>
      <c r="N85" s="24">
        <f t="shared" si="5"/>
        <v>1265613.0101036977</v>
      </c>
    </row>
    <row r="86" spans="10:14" ht="15.75" customHeight="1" x14ac:dyDescent="0.25">
      <c r="J86" s="33">
        <v>47150</v>
      </c>
      <c r="K86" s="24">
        <f t="shared" si="7"/>
        <v>1265613.0101036977</v>
      </c>
      <c r="L86" s="24">
        <f t="shared" si="3"/>
        <v>10546.775084197481</v>
      </c>
      <c r="M86" s="24">
        <f t="shared" si="4"/>
        <v>-60696.656391217322</v>
      </c>
      <c r="N86" s="24">
        <f t="shared" si="5"/>
        <v>1215463.1287966778</v>
      </c>
    </row>
    <row r="87" spans="10:14" ht="15.75" customHeight="1" x14ac:dyDescent="0.25">
      <c r="J87" s="33">
        <v>47178</v>
      </c>
      <c r="K87" s="24">
        <f t="shared" si="7"/>
        <v>1215463.1287966778</v>
      </c>
      <c r="L87" s="24">
        <f t="shared" si="3"/>
        <v>10128.859406638981</v>
      </c>
      <c r="M87" s="24">
        <f t="shared" si="4"/>
        <v>-60696.656391217322</v>
      </c>
      <c r="N87" s="24">
        <f t="shared" si="5"/>
        <v>1164895.3318120993</v>
      </c>
    </row>
    <row r="88" spans="10:14" ht="15.75" customHeight="1" x14ac:dyDescent="0.25">
      <c r="J88" s="33">
        <v>47209</v>
      </c>
      <c r="K88" s="24">
        <f t="shared" si="7"/>
        <v>1164895.3318120993</v>
      </c>
      <c r="L88" s="24">
        <f t="shared" si="3"/>
        <v>9707.4610984341616</v>
      </c>
      <c r="M88" s="24">
        <f t="shared" si="4"/>
        <v>-60696.656391217322</v>
      </c>
      <c r="N88" s="24">
        <f t="shared" si="5"/>
        <v>1113906.1365193161</v>
      </c>
    </row>
    <row r="89" spans="10:14" ht="15.75" customHeight="1" x14ac:dyDescent="0.25">
      <c r="J89" s="33">
        <v>47239</v>
      </c>
      <c r="K89" s="24">
        <f t="shared" si="7"/>
        <v>1113906.1365193161</v>
      </c>
      <c r="L89" s="24">
        <f t="shared" si="3"/>
        <v>9282.5511376609684</v>
      </c>
      <c r="M89" s="24">
        <f t="shared" si="4"/>
        <v>-60696.656391217322</v>
      </c>
      <c r="N89" s="24">
        <f t="shared" si="5"/>
        <v>1062492.0312657596</v>
      </c>
    </row>
    <row r="90" spans="10:14" ht="15.75" customHeight="1" x14ac:dyDescent="0.25">
      <c r="J90" s="33">
        <v>47270</v>
      </c>
      <c r="K90" s="24">
        <f t="shared" si="7"/>
        <v>1062492.0312657596</v>
      </c>
      <c r="L90" s="24">
        <f t="shared" si="3"/>
        <v>8854.1002605479971</v>
      </c>
      <c r="M90" s="24">
        <f t="shared" si="4"/>
        <v>-60696.656391217322</v>
      </c>
      <c r="N90" s="24">
        <f t="shared" si="5"/>
        <v>1010649.4751350903</v>
      </c>
    </row>
    <row r="91" spans="10:14" ht="15.75" customHeight="1" x14ac:dyDescent="0.25">
      <c r="J91" s="33">
        <v>47300</v>
      </c>
      <c r="K91" s="24">
        <f t="shared" si="7"/>
        <v>1010649.4751350903</v>
      </c>
      <c r="L91" s="24">
        <f t="shared" si="3"/>
        <v>8422.078959459086</v>
      </c>
      <c r="M91" s="24">
        <f t="shared" si="4"/>
        <v>-60696.656391217322</v>
      </c>
      <c r="N91" s="24">
        <f t="shared" si="5"/>
        <v>958374.89770333201</v>
      </c>
    </row>
    <row r="92" spans="10:14" ht="15.75" customHeight="1" x14ac:dyDescent="0.25">
      <c r="J92" s="33">
        <v>47331</v>
      </c>
      <c r="K92" s="24">
        <f t="shared" si="7"/>
        <v>958374.89770333201</v>
      </c>
      <c r="L92" s="24">
        <f t="shared" si="3"/>
        <v>7986.4574808610996</v>
      </c>
      <c r="M92" s="24">
        <f t="shared" si="4"/>
        <v>-60696.656391217322</v>
      </c>
      <c r="N92" s="24">
        <f t="shared" si="5"/>
        <v>905664.69879297575</v>
      </c>
    </row>
    <row r="93" spans="10:14" ht="15.75" customHeight="1" x14ac:dyDescent="0.25">
      <c r="J93" s="33">
        <v>47362</v>
      </c>
      <c r="K93" s="24">
        <f t="shared" si="7"/>
        <v>905664.69879297575</v>
      </c>
      <c r="L93" s="24">
        <f t="shared" si="3"/>
        <v>7547.2058232747977</v>
      </c>
      <c r="M93" s="24">
        <f t="shared" si="4"/>
        <v>-60696.656391217322</v>
      </c>
      <c r="N93" s="24">
        <f t="shared" si="5"/>
        <v>852515.24822503317</v>
      </c>
    </row>
    <row r="94" spans="10:14" ht="15.75" customHeight="1" x14ac:dyDescent="0.25">
      <c r="J94" s="33">
        <v>47392</v>
      </c>
      <c r="K94" s="24">
        <f t="shared" si="7"/>
        <v>852515.24822503317</v>
      </c>
      <c r="L94" s="24">
        <f t="shared" si="3"/>
        <v>7104.2937352086092</v>
      </c>
      <c r="M94" s="24">
        <f t="shared" si="4"/>
        <v>-60696.656391217322</v>
      </c>
      <c r="N94" s="24">
        <f t="shared" si="5"/>
        <v>798922.88556902437</v>
      </c>
    </row>
    <row r="95" spans="10:14" ht="15.75" customHeight="1" x14ac:dyDescent="0.25">
      <c r="J95" s="33">
        <v>47423</v>
      </c>
      <c r="K95" s="24">
        <f t="shared" si="7"/>
        <v>798922.88556902437</v>
      </c>
      <c r="L95" s="24">
        <f t="shared" si="3"/>
        <v>6657.6907130752033</v>
      </c>
      <c r="M95" s="24">
        <f t="shared" si="4"/>
        <v>-60696.656391217322</v>
      </c>
      <c r="N95" s="24">
        <f t="shared" si="5"/>
        <v>744883.91989088221</v>
      </c>
    </row>
    <row r="96" spans="10:14" ht="15.75" customHeight="1" x14ac:dyDescent="0.25">
      <c r="J96" s="33">
        <v>47453</v>
      </c>
      <c r="K96" s="24">
        <f t="shared" si="7"/>
        <v>744883.91989088221</v>
      </c>
      <c r="L96" s="24">
        <f t="shared" si="3"/>
        <v>6207.3659990906854</v>
      </c>
      <c r="M96" s="24">
        <f t="shared" si="4"/>
        <v>-60696.656391217322</v>
      </c>
      <c r="N96" s="24">
        <f t="shared" si="5"/>
        <v>690394.62949875556</v>
      </c>
    </row>
    <row r="97" spans="10:14" ht="15.75" customHeight="1" x14ac:dyDescent="0.25">
      <c r="J97" s="33">
        <v>47484</v>
      </c>
      <c r="K97" s="24">
        <f t="shared" si="7"/>
        <v>690394.62949875556</v>
      </c>
      <c r="L97" s="24">
        <f t="shared" si="3"/>
        <v>5753.2885791562967</v>
      </c>
      <c r="M97" s="24">
        <f t="shared" si="4"/>
        <v>-60696.656391217322</v>
      </c>
      <c r="N97" s="24">
        <f t="shared" si="5"/>
        <v>635451.26168669446</v>
      </c>
    </row>
    <row r="98" spans="10:14" ht="15.75" customHeight="1" x14ac:dyDescent="0.25">
      <c r="J98" s="33">
        <v>47515</v>
      </c>
      <c r="K98" s="24">
        <f t="shared" si="7"/>
        <v>635451.26168669446</v>
      </c>
      <c r="L98" s="24">
        <f t="shared" si="3"/>
        <v>5295.4271807224541</v>
      </c>
      <c r="M98" s="24">
        <f t="shared" si="4"/>
        <v>-60696.656391217322</v>
      </c>
      <c r="N98" s="24">
        <f t="shared" si="5"/>
        <v>580050.03247619956</v>
      </c>
    </row>
    <row r="99" spans="10:14" ht="15.75" customHeight="1" x14ac:dyDescent="0.25">
      <c r="J99" s="33">
        <v>47543</v>
      </c>
      <c r="K99" s="24">
        <f t="shared" si="7"/>
        <v>580050.03247619956</v>
      </c>
      <c r="L99" s="24">
        <f t="shared" si="3"/>
        <v>4833.750270634996</v>
      </c>
      <c r="M99" s="24">
        <f t="shared" si="4"/>
        <v>-60696.656391217322</v>
      </c>
      <c r="N99" s="24">
        <f t="shared" si="5"/>
        <v>524187.12635561725</v>
      </c>
    </row>
    <row r="100" spans="10:14" ht="15.75" customHeight="1" x14ac:dyDescent="0.25">
      <c r="J100" s="33">
        <v>47574</v>
      </c>
      <c r="K100" s="24">
        <f t="shared" si="7"/>
        <v>524187.12635561725</v>
      </c>
      <c r="L100" s="24">
        <f t="shared" si="3"/>
        <v>4368.2260529634768</v>
      </c>
      <c r="M100" s="24">
        <f t="shared" si="4"/>
        <v>-60696.656391217322</v>
      </c>
      <c r="N100" s="24">
        <f t="shared" si="5"/>
        <v>467858.6960173634</v>
      </c>
    </row>
    <row r="101" spans="10:14" ht="15.75" customHeight="1" x14ac:dyDescent="0.25">
      <c r="J101" s="33">
        <v>47604</v>
      </c>
      <c r="K101" s="24">
        <f t="shared" si="7"/>
        <v>467858.6960173634</v>
      </c>
      <c r="L101" s="24">
        <f t="shared" si="3"/>
        <v>3898.8224668113617</v>
      </c>
      <c r="M101" s="24">
        <f t="shared" si="4"/>
        <v>-60696.656391217322</v>
      </c>
      <c r="N101" s="24">
        <f t="shared" si="5"/>
        <v>411060.86209295742</v>
      </c>
    </row>
    <row r="102" spans="10:14" ht="15.75" customHeight="1" x14ac:dyDescent="0.25">
      <c r="J102" s="33">
        <v>47635</v>
      </c>
      <c r="K102" s="24">
        <f t="shared" si="7"/>
        <v>411060.86209295742</v>
      </c>
      <c r="L102" s="24">
        <f t="shared" si="3"/>
        <v>3425.5071841079784</v>
      </c>
      <c r="M102" s="24">
        <f t="shared" si="4"/>
        <v>-60696.656391217322</v>
      </c>
      <c r="N102" s="24">
        <f t="shared" si="5"/>
        <v>353789.71288584807</v>
      </c>
    </row>
    <row r="103" spans="10:14" ht="15.75" customHeight="1" x14ac:dyDescent="0.25">
      <c r="J103" s="33">
        <v>47665</v>
      </c>
      <c r="K103" s="24">
        <f t="shared" si="7"/>
        <v>353789.71288584807</v>
      </c>
      <c r="L103" s="24">
        <f t="shared" si="3"/>
        <v>2948.2476073820671</v>
      </c>
      <c r="M103" s="24">
        <f t="shared" si="4"/>
        <v>-60696.656391217322</v>
      </c>
      <c r="N103" s="24">
        <f t="shared" si="5"/>
        <v>296041.30410201283</v>
      </c>
    </row>
    <row r="104" spans="10:14" ht="15.75" customHeight="1" x14ac:dyDescent="0.25">
      <c r="J104" s="33">
        <v>47696</v>
      </c>
      <c r="K104" s="24">
        <f t="shared" si="7"/>
        <v>296041.30410201283</v>
      </c>
      <c r="L104" s="24">
        <f t="shared" si="3"/>
        <v>2467.0108675167735</v>
      </c>
      <c r="M104" s="24">
        <f t="shared" si="4"/>
        <v>-60696.656391217322</v>
      </c>
      <c r="N104" s="24">
        <f t="shared" si="5"/>
        <v>237811.65857831232</v>
      </c>
    </row>
    <row r="105" spans="10:14" ht="15.75" customHeight="1" x14ac:dyDescent="0.25">
      <c r="J105" s="33">
        <v>47727</v>
      </c>
      <c r="K105" s="24">
        <f t="shared" si="7"/>
        <v>237811.65857831232</v>
      </c>
      <c r="L105" s="24">
        <f t="shared" si="3"/>
        <v>1981.763821485936</v>
      </c>
      <c r="M105" s="24">
        <f t="shared" si="4"/>
        <v>-60696.656391217322</v>
      </c>
      <c r="N105" s="24">
        <f t="shared" si="5"/>
        <v>179096.76600858095</v>
      </c>
    </row>
    <row r="106" spans="10:14" ht="15.75" customHeight="1" x14ac:dyDescent="0.25">
      <c r="J106" s="33">
        <v>47757</v>
      </c>
      <c r="K106" s="24">
        <f t="shared" si="7"/>
        <v>179096.76600858095</v>
      </c>
      <c r="L106" s="24">
        <f t="shared" si="3"/>
        <v>1492.4730500715079</v>
      </c>
      <c r="M106" s="24">
        <f t="shared" si="4"/>
        <v>-60696.656391217322</v>
      </c>
      <c r="N106" s="24">
        <f t="shared" si="5"/>
        <v>119892.58266743514</v>
      </c>
    </row>
    <row r="107" spans="10:14" ht="15.75" customHeight="1" x14ac:dyDescent="0.25">
      <c r="J107" s="33">
        <v>47788</v>
      </c>
      <c r="K107" s="24">
        <f t="shared" si="7"/>
        <v>119892.58266743514</v>
      </c>
      <c r="L107" s="24">
        <f t="shared" si="3"/>
        <v>999.10485556195954</v>
      </c>
      <c r="M107" s="24">
        <f t="shared" si="4"/>
        <v>-60696.656391217322</v>
      </c>
      <c r="N107" s="24">
        <f t="shared" si="5"/>
        <v>60195.031131779782</v>
      </c>
    </row>
    <row r="108" spans="10:14" ht="15.75" customHeight="1" x14ac:dyDescent="0.25">
      <c r="J108" s="33">
        <v>47818</v>
      </c>
      <c r="K108" s="24">
        <f t="shared" si="7"/>
        <v>60195.031131779782</v>
      </c>
      <c r="L108" s="24">
        <f t="shared" si="3"/>
        <v>501.62525943149819</v>
      </c>
      <c r="M108" s="24">
        <f t="shared" si="4"/>
        <v>-60696.656391217322</v>
      </c>
      <c r="N108" s="24">
        <f t="shared" si="5"/>
        <v>-6.0390448197722435E-9</v>
      </c>
    </row>
    <row r="109" spans="10:14" ht="15.75" customHeight="1" x14ac:dyDescent="0.25">
      <c r="J109" s="33"/>
    </row>
    <row r="110" spans="10:14" ht="15.75" customHeight="1" x14ac:dyDescent="0.25"/>
    <row r="111" spans="10:14" ht="15.75" customHeight="1" x14ac:dyDescent="0.25"/>
    <row r="112" spans="10:14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J1000"/>
  <sheetViews>
    <sheetView showGridLines="0" workbookViewId="0"/>
  </sheetViews>
  <sheetFormatPr defaultColWidth="14.42578125" defaultRowHeight="15" customHeight="1" x14ac:dyDescent="0.25"/>
  <cols>
    <col min="1" max="1" width="0.85546875" customWidth="1"/>
    <col min="2" max="2" width="21" customWidth="1"/>
    <col min="3" max="3" width="0.85546875" customWidth="1"/>
    <col min="4" max="6" width="15.28515625" customWidth="1"/>
    <col min="7" max="7" width="16.7109375" customWidth="1"/>
    <col min="8" max="8" width="15.28515625" customWidth="1"/>
    <col min="9" max="9" width="8.7109375" customWidth="1"/>
    <col min="10" max="10" width="19.140625" customWidth="1"/>
    <col min="11" max="26" width="8.7109375" customWidth="1"/>
  </cols>
  <sheetData>
    <row r="2" spans="2:10" ht="23.25" x14ac:dyDescent="0.35">
      <c r="B2" s="1" t="s">
        <v>3</v>
      </c>
      <c r="C2" s="1"/>
    </row>
    <row r="3" spans="2:10" x14ac:dyDescent="0.25">
      <c r="F3" s="2" t="s">
        <v>19</v>
      </c>
      <c r="H3" s="5">
        <v>0.15</v>
      </c>
      <c r="J3" s="6"/>
    </row>
    <row r="4" spans="2:10" x14ac:dyDescent="0.25">
      <c r="D4" s="3" t="s">
        <v>20</v>
      </c>
      <c r="E4" s="2">
        <v>3</v>
      </c>
      <c r="F4" s="2" t="s">
        <v>21</v>
      </c>
    </row>
    <row r="5" spans="2:10" x14ac:dyDescent="0.25">
      <c r="F5" s="2" t="s">
        <v>22</v>
      </c>
      <c r="H5" s="5">
        <v>-0.2</v>
      </c>
    </row>
    <row r="7" spans="2:10" x14ac:dyDescent="0.25">
      <c r="D7" s="7" t="s">
        <v>23</v>
      </c>
      <c r="E7" s="7" t="s">
        <v>24</v>
      </c>
      <c r="F7" s="7" t="s">
        <v>25</v>
      </c>
      <c r="G7" s="7" t="s">
        <v>26</v>
      </c>
      <c r="H7" s="7" t="s">
        <v>27</v>
      </c>
    </row>
    <row r="8" spans="2:10" x14ac:dyDescent="0.25">
      <c r="B8" s="7" t="s">
        <v>28</v>
      </c>
      <c r="C8" s="3"/>
      <c r="D8" s="8">
        <f t="shared" ref="D8:H8" si="0">D9+D15+D21</f>
        <v>170000000</v>
      </c>
      <c r="E8" s="8">
        <f t="shared" si="0"/>
        <v>178500000</v>
      </c>
      <c r="F8" s="8">
        <f t="shared" si="0"/>
        <v>187425000</v>
      </c>
      <c r="G8" s="8">
        <f t="shared" si="0"/>
        <v>196796250</v>
      </c>
      <c r="H8" s="8">
        <f t="shared" si="0"/>
        <v>206636062.5</v>
      </c>
    </row>
    <row r="9" spans="2:10" x14ac:dyDescent="0.25">
      <c r="B9" s="9" t="str">
        <f>'Source PnL'!B6</f>
        <v>R-Stream - 1</v>
      </c>
      <c r="D9" s="9">
        <f>'Source PnL'!D6</f>
        <v>40000000</v>
      </c>
      <c r="E9" s="9">
        <f t="shared" ref="E9:H9" si="1">D9*(1+E10)</f>
        <v>42000000</v>
      </c>
      <c r="F9" s="9">
        <f t="shared" si="1"/>
        <v>44100000</v>
      </c>
      <c r="G9" s="9">
        <f t="shared" si="1"/>
        <v>46305000</v>
      </c>
      <c r="H9" s="9">
        <f t="shared" si="1"/>
        <v>48620250</v>
      </c>
    </row>
    <row r="10" spans="2:10" x14ac:dyDescent="0.25">
      <c r="B10" s="10" t="s">
        <v>29</v>
      </c>
      <c r="D10" s="11">
        <f t="shared" ref="D10:H10" si="2">+CHOOSE($E$4,D11,D12,D13)</f>
        <v>0.05</v>
      </c>
      <c r="E10" s="11">
        <f t="shared" si="2"/>
        <v>0.05</v>
      </c>
      <c r="F10" s="11">
        <f t="shared" si="2"/>
        <v>0.05</v>
      </c>
      <c r="G10" s="11">
        <f t="shared" si="2"/>
        <v>0.05</v>
      </c>
      <c r="H10" s="11">
        <f t="shared" si="2"/>
        <v>0.05</v>
      </c>
    </row>
    <row r="11" spans="2:10" x14ac:dyDescent="0.25">
      <c r="B11" s="12" t="s">
        <v>30</v>
      </c>
      <c r="D11" s="13">
        <v>0.15</v>
      </c>
      <c r="E11" s="13">
        <v>0.15</v>
      </c>
      <c r="F11" s="13">
        <v>0.15</v>
      </c>
      <c r="G11" s="13">
        <v>0.15</v>
      </c>
      <c r="H11" s="13">
        <v>0.15</v>
      </c>
    </row>
    <row r="12" spans="2:10" x14ac:dyDescent="0.25">
      <c r="B12" s="12" t="s">
        <v>31</v>
      </c>
      <c r="D12" s="13">
        <v>0.1</v>
      </c>
      <c r="E12" s="13">
        <v>0.1</v>
      </c>
      <c r="F12" s="13">
        <v>0.1</v>
      </c>
      <c r="G12" s="13">
        <v>0.1</v>
      </c>
      <c r="H12" s="13">
        <v>0.1</v>
      </c>
    </row>
    <row r="13" spans="2:10" x14ac:dyDescent="0.25">
      <c r="B13" s="12" t="s">
        <v>32</v>
      </c>
      <c r="D13" s="13">
        <v>0.05</v>
      </c>
      <c r="E13" s="13">
        <v>0.05</v>
      </c>
      <c r="F13" s="13">
        <v>0.05</v>
      </c>
      <c r="G13" s="13">
        <v>0.05</v>
      </c>
      <c r="H13" s="13">
        <v>0.05</v>
      </c>
    </row>
    <row r="14" spans="2:10" ht="3" customHeight="1" x14ac:dyDescent="0.25"/>
    <row r="15" spans="2:10" x14ac:dyDescent="0.25">
      <c r="B15" s="9" t="str">
        <f>'Source PnL'!B7</f>
        <v>R-Stream - 2</v>
      </c>
      <c r="D15" s="9">
        <f>'Source PnL'!D7</f>
        <v>20000000</v>
      </c>
      <c r="E15" s="9">
        <f t="shared" ref="E15:H15" si="3">D15*(1+E16)</f>
        <v>21000000</v>
      </c>
      <c r="F15" s="9">
        <f t="shared" si="3"/>
        <v>22050000</v>
      </c>
      <c r="G15" s="9">
        <f t="shared" si="3"/>
        <v>23152500</v>
      </c>
      <c r="H15" s="9">
        <f t="shared" si="3"/>
        <v>24310125</v>
      </c>
    </row>
    <row r="16" spans="2:10" x14ac:dyDescent="0.25">
      <c r="B16" s="10" t="s">
        <v>29</v>
      </c>
      <c r="D16" s="11">
        <f t="shared" ref="D16:H16" si="4">+CHOOSE($E$4,D17,D18,D19)</f>
        <v>0.05</v>
      </c>
      <c r="E16" s="11">
        <f t="shared" si="4"/>
        <v>0.05</v>
      </c>
      <c r="F16" s="11">
        <f t="shared" si="4"/>
        <v>0.05</v>
      </c>
      <c r="G16" s="11">
        <f t="shared" si="4"/>
        <v>0.05</v>
      </c>
      <c r="H16" s="11">
        <f t="shared" si="4"/>
        <v>0.05</v>
      </c>
    </row>
    <row r="17" spans="2:8" x14ac:dyDescent="0.25">
      <c r="B17" s="12" t="s">
        <v>30</v>
      </c>
      <c r="D17" s="13">
        <v>0.15</v>
      </c>
      <c r="E17" s="13">
        <v>0.15</v>
      </c>
      <c r="F17" s="13">
        <v>0.15</v>
      </c>
      <c r="G17" s="13">
        <v>0.15</v>
      </c>
      <c r="H17" s="13">
        <v>0.15</v>
      </c>
    </row>
    <row r="18" spans="2:8" x14ac:dyDescent="0.25">
      <c r="B18" s="12" t="s">
        <v>31</v>
      </c>
      <c r="D18" s="13">
        <v>0.1</v>
      </c>
      <c r="E18" s="13">
        <v>0.1</v>
      </c>
      <c r="F18" s="13">
        <v>0.1</v>
      </c>
      <c r="G18" s="13">
        <v>0.1</v>
      </c>
      <c r="H18" s="13">
        <v>0.1</v>
      </c>
    </row>
    <row r="19" spans="2:8" x14ac:dyDescent="0.25">
      <c r="B19" s="12" t="s">
        <v>32</v>
      </c>
      <c r="D19" s="13">
        <v>0.05</v>
      </c>
      <c r="E19" s="13">
        <v>0.05</v>
      </c>
      <c r="F19" s="13">
        <v>0.05</v>
      </c>
      <c r="G19" s="13">
        <v>0.05</v>
      </c>
      <c r="H19" s="13">
        <v>0.05</v>
      </c>
    </row>
    <row r="20" spans="2:8" ht="3" customHeight="1" x14ac:dyDescent="0.25"/>
    <row r="21" spans="2:8" ht="15.75" customHeight="1" x14ac:dyDescent="0.25">
      <c r="B21" s="9" t="str">
        <f>'Source PnL'!B8</f>
        <v>R-Stream - 3</v>
      </c>
      <c r="D21" s="9">
        <f>'Source PnL'!D8</f>
        <v>110000000</v>
      </c>
      <c r="E21" s="9">
        <f t="shared" ref="E21:H21" si="5">D21*(1+E22)</f>
        <v>115500000</v>
      </c>
      <c r="F21" s="9">
        <f t="shared" si="5"/>
        <v>121275000</v>
      </c>
      <c r="G21" s="9">
        <f t="shared" si="5"/>
        <v>127338750</v>
      </c>
      <c r="H21" s="9">
        <f t="shared" si="5"/>
        <v>133705687.5</v>
      </c>
    </row>
    <row r="22" spans="2:8" ht="15.75" customHeight="1" x14ac:dyDescent="0.25">
      <c r="B22" s="10" t="s">
        <v>29</v>
      </c>
      <c r="D22" s="11">
        <f t="shared" ref="D22:H22" si="6">+CHOOSE($E$4,D23,D24,D25)</f>
        <v>0.05</v>
      </c>
      <c r="E22" s="11">
        <f t="shared" si="6"/>
        <v>0.05</v>
      </c>
      <c r="F22" s="11">
        <f t="shared" si="6"/>
        <v>0.05</v>
      </c>
      <c r="G22" s="11">
        <f t="shared" si="6"/>
        <v>0.05</v>
      </c>
      <c r="H22" s="11">
        <f t="shared" si="6"/>
        <v>0.05</v>
      </c>
    </row>
    <row r="23" spans="2:8" ht="15.75" customHeight="1" x14ac:dyDescent="0.25">
      <c r="B23" s="12" t="s">
        <v>30</v>
      </c>
      <c r="D23" s="13">
        <v>0.15</v>
      </c>
      <c r="E23" s="13">
        <v>0.15</v>
      </c>
      <c r="F23" s="13">
        <v>0.15</v>
      </c>
      <c r="G23" s="13">
        <v>0.15</v>
      </c>
      <c r="H23" s="13">
        <v>0.15</v>
      </c>
    </row>
    <row r="24" spans="2:8" ht="15.75" customHeight="1" x14ac:dyDescent="0.25">
      <c r="B24" s="12" t="s">
        <v>31</v>
      </c>
      <c r="D24" s="13">
        <v>0.1</v>
      </c>
      <c r="E24" s="13">
        <v>0.1</v>
      </c>
      <c r="F24" s="13">
        <v>0.1</v>
      </c>
      <c r="G24" s="13">
        <v>0.1</v>
      </c>
      <c r="H24" s="13">
        <v>0.1</v>
      </c>
    </row>
    <row r="25" spans="2:8" ht="15.75" customHeight="1" x14ac:dyDescent="0.25">
      <c r="B25" s="12" t="s">
        <v>32</v>
      </c>
      <c r="D25" s="13">
        <v>0.05</v>
      </c>
      <c r="E25" s="13">
        <v>0.05</v>
      </c>
      <c r="F25" s="13">
        <v>0.05</v>
      </c>
      <c r="G25" s="13">
        <v>0.05</v>
      </c>
      <c r="H25" s="13">
        <v>0.05</v>
      </c>
    </row>
    <row r="26" spans="2:8" ht="3" customHeight="1" x14ac:dyDescent="0.25"/>
    <row r="27" spans="2:8" ht="15.75" customHeight="1" x14ac:dyDescent="0.25">
      <c r="B27" s="7" t="str">
        <f>'Source PnL'!B11</f>
        <v>Less: Cost of Revenue</v>
      </c>
    </row>
    <row r="28" spans="2:8" ht="15.75" customHeight="1" x14ac:dyDescent="0.25">
      <c r="B28" s="9" t="str">
        <f>'Source PnL'!B12</f>
        <v>C-Stream - 1</v>
      </c>
      <c r="D28" s="9">
        <f>'Source PnL'!D12</f>
        <v>-15000000</v>
      </c>
      <c r="E28" s="9">
        <f t="shared" ref="E28:H28" si="7">D28*(1+E29)</f>
        <v>-15750000</v>
      </c>
      <c r="F28" s="9">
        <f t="shared" si="7"/>
        <v>-16537500</v>
      </c>
      <c r="G28" s="9">
        <f t="shared" si="7"/>
        <v>-17364375</v>
      </c>
      <c r="H28" s="9">
        <f t="shared" si="7"/>
        <v>-18232593.75</v>
      </c>
    </row>
    <row r="29" spans="2:8" ht="15.75" customHeight="1" x14ac:dyDescent="0.25">
      <c r="B29" s="10" t="s">
        <v>29</v>
      </c>
      <c r="D29" s="11">
        <f t="shared" ref="D29:H29" si="8">+CHOOSE($E$4,D30,D31,D32)</f>
        <v>0.05</v>
      </c>
      <c r="E29" s="11">
        <f t="shared" si="8"/>
        <v>0.05</v>
      </c>
      <c r="F29" s="11">
        <f t="shared" si="8"/>
        <v>0.05</v>
      </c>
      <c r="G29" s="11">
        <f t="shared" si="8"/>
        <v>0.05</v>
      </c>
      <c r="H29" s="11">
        <f t="shared" si="8"/>
        <v>0.05</v>
      </c>
    </row>
    <row r="30" spans="2:8" ht="15.75" customHeight="1" x14ac:dyDescent="0.25">
      <c r="B30" s="12" t="s">
        <v>30</v>
      </c>
      <c r="D30" s="13">
        <v>0.15</v>
      </c>
      <c r="E30" s="13">
        <v>0.15</v>
      </c>
      <c r="F30" s="13">
        <v>0.15</v>
      </c>
      <c r="G30" s="13">
        <v>0.15</v>
      </c>
      <c r="H30" s="13">
        <v>0.15</v>
      </c>
    </row>
    <row r="31" spans="2:8" ht="15.75" customHeight="1" x14ac:dyDescent="0.25">
      <c r="B31" s="12" t="s">
        <v>31</v>
      </c>
      <c r="D31" s="13">
        <v>0.1</v>
      </c>
      <c r="E31" s="13">
        <v>0.1</v>
      </c>
      <c r="F31" s="13">
        <v>0.1</v>
      </c>
      <c r="G31" s="13">
        <v>0.1</v>
      </c>
      <c r="H31" s="13">
        <v>0.1</v>
      </c>
    </row>
    <row r="32" spans="2:8" ht="15.75" customHeight="1" x14ac:dyDescent="0.25">
      <c r="B32" s="12" t="s">
        <v>32</v>
      </c>
      <c r="D32" s="13">
        <v>0.05</v>
      </c>
      <c r="E32" s="13">
        <v>0.05</v>
      </c>
      <c r="F32" s="13">
        <v>0.05</v>
      </c>
      <c r="G32" s="13">
        <v>0.05</v>
      </c>
      <c r="H32" s="13">
        <v>0.05</v>
      </c>
    </row>
    <row r="33" spans="2:8" ht="3" customHeight="1" x14ac:dyDescent="0.25"/>
    <row r="34" spans="2:8" ht="15.75" customHeight="1" x14ac:dyDescent="0.25">
      <c r="B34" s="9" t="str">
        <f>'Source PnL'!B13</f>
        <v>C-Stream - 2</v>
      </c>
      <c r="D34" s="9">
        <f>'Source PnL'!D13</f>
        <v>-10000000</v>
      </c>
      <c r="E34" s="9">
        <f t="shared" ref="E34:H34" si="9">D34*(1+E35)</f>
        <v>-10500000</v>
      </c>
      <c r="F34" s="9">
        <f t="shared" si="9"/>
        <v>-11025000</v>
      </c>
      <c r="G34" s="9">
        <f t="shared" si="9"/>
        <v>-11576250</v>
      </c>
      <c r="H34" s="9">
        <f t="shared" si="9"/>
        <v>-12155062.5</v>
      </c>
    </row>
    <row r="35" spans="2:8" ht="15.75" customHeight="1" x14ac:dyDescent="0.25">
      <c r="B35" s="10" t="s">
        <v>29</v>
      </c>
      <c r="D35" s="11">
        <f t="shared" ref="D35:H35" si="10">+CHOOSE($E$4,D36,D37,D38)</f>
        <v>0.05</v>
      </c>
      <c r="E35" s="11">
        <f t="shared" si="10"/>
        <v>0.05</v>
      </c>
      <c r="F35" s="11">
        <f t="shared" si="10"/>
        <v>0.05</v>
      </c>
      <c r="G35" s="11">
        <f t="shared" si="10"/>
        <v>0.05</v>
      </c>
      <c r="H35" s="11">
        <f t="shared" si="10"/>
        <v>0.05</v>
      </c>
    </row>
    <row r="36" spans="2:8" ht="15.75" customHeight="1" x14ac:dyDescent="0.25">
      <c r="B36" s="12" t="s">
        <v>30</v>
      </c>
      <c r="D36" s="13">
        <v>0.15</v>
      </c>
      <c r="E36" s="13">
        <v>0.15</v>
      </c>
      <c r="F36" s="13">
        <v>0.15</v>
      </c>
      <c r="G36" s="13">
        <v>0.15</v>
      </c>
      <c r="H36" s="13">
        <v>0.15</v>
      </c>
    </row>
    <row r="37" spans="2:8" ht="15.75" customHeight="1" x14ac:dyDescent="0.25">
      <c r="B37" s="12" t="s">
        <v>31</v>
      </c>
      <c r="D37" s="13">
        <v>0.1</v>
      </c>
      <c r="E37" s="13">
        <v>0.1</v>
      </c>
      <c r="F37" s="13">
        <v>0.1</v>
      </c>
      <c r="G37" s="13">
        <v>0.1</v>
      </c>
      <c r="H37" s="13">
        <v>0.1</v>
      </c>
    </row>
    <row r="38" spans="2:8" ht="15.75" customHeight="1" x14ac:dyDescent="0.25">
      <c r="B38" s="12" t="s">
        <v>32</v>
      </c>
      <c r="D38" s="13">
        <v>0.05</v>
      </c>
      <c r="E38" s="13">
        <v>0.05</v>
      </c>
      <c r="F38" s="13">
        <v>0.05</v>
      </c>
      <c r="G38" s="13">
        <v>0.05</v>
      </c>
      <c r="H38" s="13">
        <v>0.05</v>
      </c>
    </row>
    <row r="39" spans="2:8" ht="3" customHeight="1" x14ac:dyDescent="0.25"/>
    <row r="40" spans="2:8" ht="15.75" customHeight="1" x14ac:dyDescent="0.25">
      <c r="B40" s="9" t="str">
        <f>'Source PnL'!B14</f>
        <v>C-Stream - 3</v>
      </c>
      <c r="D40" s="9">
        <f>'Source PnL'!D14</f>
        <v>-20000000</v>
      </c>
      <c r="E40" s="9">
        <f t="shared" ref="E40:H40" si="11">D40*(1+E41)</f>
        <v>-21000000</v>
      </c>
      <c r="F40" s="9">
        <f t="shared" si="11"/>
        <v>-22050000</v>
      </c>
      <c r="G40" s="9">
        <f t="shared" si="11"/>
        <v>-23152500</v>
      </c>
      <c r="H40" s="9">
        <f t="shared" si="11"/>
        <v>-24310125</v>
      </c>
    </row>
    <row r="41" spans="2:8" ht="15.75" customHeight="1" x14ac:dyDescent="0.25">
      <c r="B41" s="10" t="s">
        <v>29</v>
      </c>
      <c r="D41" s="11">
        <f t="shared" ref="D41:H41" si="12">+CHOOSE($E$4,D42,D43,D44)</f>
        <v>0.05</v>
      </c>
      <c r="E41" s="11">
        <f t="shared" si="12"/>
        <v>0.05</v>
      </c>
      <c r="F41" s="11">
        <f t="shared" si="12"/>
        <v>0.05</v>
      </c>
      <c r="G41" s="11">
        <f t="shared" si="12"/>
        <v>0.05</v>
      </c>
      <c r="H41" s="11">
        <f t="shared" si="12"/>
        <v>0.05</v>
      </c>
    </row>
    <row r="42" spans="2:8" ht="15.75" customHeight="1" x14ac:dyDescent="0.25">
      <c r="B42" s="12" t="s">
        <v>30</v>
      </c>
      <c r="D42" s="13">
        <v>0.15</v>
      </c>
      <c r="E42" s="13">
        <v>0.15</v>
      </c>
      <c r="F42" s="13">
        <v>0.15</v>
      </c>
      <c r="G42" s="13">
        <v>0.15</v>
      </c>
      <c r="H42" s="13">
        <v>0.15</v>
      </c>
    </row>
    <row r="43" spans="2:8" ht="15.75" customHeight="1" x14ac:dyDescent="0.25">
      <c r="B43" s="12" t="s">
        <v>31</v>
      </c>
      <c r="D43" s="13">
        <v>0.1</v>
      </c>
      <c r="E43" s="13">
        <v>0.1</v>
      </c>
      <c r="F43" s="13">
        <v>0.1</v>
      </c>
      <c r="G43" s="13">
        <v>0.1</v>
      </c>
      <c r="H43" s="13">
        <v>0.1</v>
      </c>
    </row>
    <row r="44" spans="2:8" ht="15.75" customHeight="1" x14ac:dyDescent="0.25">
      <c r="B44" s="12" t="s">
        <v>32</v>
      </c>
      <c r="D44" s="13">
        <v>0.05</v>
      </c>
      <c r="E44" s="13">
        <v>0.05</v>
      </c>
      <c r="F44" s="13">
        <v>0.05</v>
      </c>
      <c r="G44" s="13">
        <v>0.05</v>
      </c>
      <c r="H44" s="13">
        <v>0.05</v>
      </c>
    </row>
    <row r="45" spans="2:8" ht="3" customHeight="1" x14ac:dyDescent="0.25"/>
    <row r="46" spans="2:8" ht="15.75" customHeight="1" x14ac:dyDescent="0.25">
      <c r="B46" s="7" t="s">
        <v>33</v>
      </c>
    </row>
    <row r="47" spans="2:8" ht="15.75" customHeight="1" x14ac:dyDescent="0.25">
      <c r="B47" s="9" t="str">
        <f>'Source PnL'!B20</f>
        <v>Platform</v>
      </c>
      <c r="D47" s="9">
        <f t="shared" ref="D47:H47" si="13">D48*D$8</f>
        <v>-22100000</v>
      </c>
      <c r="E47" s="9">
        <f t="shared" si="13"/>
        <v>-23205000</v>
      </c>
      <c r="F47" s="9">
        <f t="shared" si="13"/>
        <v>-24365250</v>
      </c>
      <c r="G47" s="9">
        <f t="shared" si="13"/>
        <v>-25583512.5</v>
      </c>
      <c r="H47" s="9">
        <f t="shared" si="13"/>
        <v>-26862688.125</v>
      </c>
    </row>
    <row r="48" spans="2:8" ht="15.75" customHeight="1" x14ac:dyDescent="0.25">
      <c r="B48" s="10" t="s">
        <v>34</v>
      </c>
      <c r="D48" s="11">
        <f t="shared" ref="D48:H48" si="14">+CHOOSE($E$4,D49,D50,D51)</f>
        <v>-0.13</v>
      </c>
      <c r="E48" s="11">
        <f t="shared" si="14"/>
        <v>-0.13</v>
      </c>
      <c r="F48" s="11">
        <f t="shared" si="14"/>
        <v>-0.13</v>
      </c>
      <c r="G48" s="11">
        <f t="shared" si="14"/>
        <v>-0.13</v>
      </c>
      <c r="H48" s="11">
        <f t="shared" si="14"/>
        <v>-0.13</v>
      </c>
    </row>
    <row r="49" spans="2:8" ht="15.75" customHeight="1" x14ac:dyDescent="0.25">
      <c r="B49" s="12" t="s">
        <v>30</v>
      </c>
      <c r="D49" s="13">
        <v>-0.1</v>
      </c>
      <c r="E49" s="13">
        <v>-0.1</v>
      </c>
      <c r="F49" s="13">
        <v>-0.1</v>
      </c>
      <c r="G49" s="13">
        <v>-0.1</v>
      </c>
      <c r="H49" s="13">
        <v>-0.1</v>
      </c>
    </row>
    <row r="50" spans="2:8" ht="15.75" customHeight="1" x14ac:dyDescent="0.25">
      <c r="B50" s="12" t="s">
        <v>31</v>
      </c>
      <c r="D50" s="13">
        <v>-0.1176</v>
      </c>
      <c r="E50" s="13">
        <v>-0.1176</v>
      </c>
      <c r="F50" s="13">
        <v>-0.1176</v>
      </c>
      <c r="G50" s="13">
        <v>-0.1176</v>
      </c>
      <c r="H50" s="13">
        <v>-0.1176</v>
      </c>
    </row>
    <row r="51" spans="2:8" ht="15.75" customHeight="1" x14ac:dyDescent="0.25">
      <c r="B51" s="12" t="s">
        <v>32</v>
      </c>
      <c r="D51" s="13">
        <v>-0.13</v>
      </c>
      <c r="E51" s="13">
        <v>-0.13</v>
      </c>
      <c r="F51" s="13">
        <v>-0.13</v>
      </c>
      <c r="G51" s="13">
        <v>-0.13</v>
      </c>
      <c r="H51" s="13">
        <v>-0.13</v>
      </c>
    </row>
    <row r="52" spans="2:8" ht="3" customHeight="1" x14ac:dyDescent="0.25"/>
    <row r="53" spans="2:8" ht="15.75" customHeight="1" x14ac:dyDescent="0.25">
      <c r="B53" s="9" t="str">
        <f>'Source PnL'!B21</f>
        <v>Rental Cost</v>
      </c>
      <c r="D53" s="9">
        <f t="shared" ref="D53:H53" si="15">D54*D$8</f>
        <v>-800000.00000000012</v>
      </c>
      <c r="E53" s="9">
        <f t="shared" si="15"/>
        <v>-840000.00000000012</v>
      </c>
      <c r="F53" s="9">
        <f t="shared" si="15"/>
        <v>-882000.00000000012</v>
      </c>
      <c r="G53" s="9">
        <f t="shared" si="15"/>
        <v>-926100.00000000012</v>
      </c>
      <c r="H53" s="9">
        <f t="shared" si="15"/>
        <v>-972405.00000000012</v>
      </c>
    </row>
    <row r="54" spans="2:8" ht="15.75" customHeight="1" x14ac:dyDescent="0.25">
      <c r="B54" s="10" t="s">
        <v>34</v>
      </c>
      <c r="D54" s="11">
        <f t="shared" ref="D54:H54" si="16">+CHOOSE($E$4,D55,D56,D57)</f>
        <v>-4.7058823529411769E-3</v>
      </c>
      <c r="E54" s="11">
        <f t="shared" si="16"/>
        <v>-4.7058823529411769E-3</v>
      </c>
      <c r="F54" s="11">
        <f t="shared" si="16"/>
        <v>-4.7058823529411769E-3</v>
      </c>
      <c r="G54" s="11">
        <f t="shared" si="16"/>
        <v>-4.7058823529411769E-3</v>
      </c>
      <c r="H54" s="11">
        <f t="shared" si="16"/>
        <v>-4.7058823529411769E-3</v>
      </c>
    </row>
    <row r="55" spans="2:8" ht="15.75" customHeight="1" x14ac:dyDescent="0.25">
      <c r="B55" s="12" t="s">
        <v>30</v>
      </c>
      <c r="D55" s="13">
        <f t="shared" ref="D55:H55" si="17">D56*(1-$H$3)</f>
        <v>-5.0000000000000001E-3</v>
      </c>
      <c r="E55" s="13">
        <f t="shared" si="17"/>
        <v>-5.0000000000000001E-3</v>
      </c>
      <c r="F55" s="13">
        <f t="shared" si="17"/>
        <v>-5.0000000000000001E-3</v>
      </c>
      <c r="G55" s="13">
        <f t="shared" si="17"/>
        <v>-5.0000000000000001E-3</v>
      </c>
      <c r="H55" s="13">
        <f t="shared" si="17"/>
        <v>-5.0000000000000001E-3</v>
      </c>
    </row>
    <row r="56" spans="2:8" ht="15.75" customHeight="1" x14ac:dyDescent="0.25">
      <c r="B56" s="12" t="s">
        <v>31</v>
      </c>
      <c r="D56" s="13">
        <v>-5.8823529411764705E-3</v>
      </c>
      <c r="E56" s="13">
        <v>-5.8823529411764705E-3</v>
      </c>
      <c r="F56" s="13">
        <v>-5.8823529411764705E-3</v>
      </c>
      <c r="G56" s="13">
        <v>-5.8823529411764705E-3</v>
      </c>
      <c r="H56" s="13">
        <v>-5.8823529411764705E-3</v>
      </c>
    </row>
    <row r="57" spans="2:8" ht="15.75" customHeight="1" x14ac:dyDescent="0.25">
      <c r="B57" s="12" t="s">
        <v>32</v>
      </c>
      <c r="D57" s="13">
        <f t="shared" ref="D57:H57" si="18">D56*(1+$H$5)</f>
        <v>-4.7058823529411769E-3</v>
      </c>
      <c r="E57" s="13">
        <f t="shared" si="18"/>
        <v>-4.7058823529411769E-3</v>
      </c>
      <c r="F57" s="13">
        <f t="shared" si="18"/>
        <v>-4.7058823529411769E-3</v>
      </c>
      <c r="G57" s="13">
        <f t="shared" si="18"/>
        <v>-4.7058823529411769E-3</v>
      </c>
      <c r="H57" s="13">
        <f t="shared" si="18"/>
        <v>-4.7058823529411769E-3</v>
      </c>
    </row>
    <row r="58" spans="2:8" ht="3" customHeight="1" x14ac:dyDescent="0.25"/>
    <row r="59" spans="2:8" ht="15.75" customHeight="1" x14ac:dyDescent="0.25">
      <c r="B59" s="9" t="str">
        <f>'Source PnL'!B22</f>
        <v>Employees Cost</v>
      </c>
      <c r="D59" s="9">
        <f t="shared" ref="D59:H59" si="19">D60*D$8</f>
        <v>-2400000</v>
      </c>
      <c r="E59" s="9">
        <f t="shared" si="19"/>
        <v>-2520000</v>
      </c>
      <c r="F59" s="9">
        <f t="shared" si="19"/>
        <v>-2646000</v>
      </c>
      <c r="G59" s="9">
        <f t="shared" si="19"/>
        <v>-2778300</v>
      </c>
      <c r="H59" s="9">
        <f t="shared" si="19"/>
        <v>-2917215</v>
      </c>
    </row>
    <row r="60" spans="2:8" ht="15.75" customHeight="1" x14ac:dyDescent="0.25">
      <c r="B60" s="10" t="s">
        <v>34</v>
      </c>
      <c r="D60" s="11">
        <f t="shared" ref="D60:H60" si="20">+CHOOSE($E$4,D61,D62,D63)</f>
        <v>-1.411764705882353E-2</v>
      </c>
      <c r="E60" s="11">
        <f t="shared" si="20"/>
        <v>-1.411764705882353E-2</v>
      </c>
      <c r="F60" s="11">
        <f t="shared" si="20"/>
        <v>-1.411764705882353E-2</v>
      </c>
      <c r="G60" s="11">
        <f t="shared" si="20"/>
        <v>-1.411764705882353E-2</v>
      </c>
      <c r="H60" s="11">
        <f t="shared" si="20"/>
        <v>-1.411764705882353E-2</v>
      </c>
    </row>
    <row r="61" spans="2:8" ht="15.75" customHeight="1" x14ac:dyDescent="0.25">
      <c r="B61" s="12" t="s">
        <v>30</v>
      </c>
      <c r="D61" s="13">
        <f t="shared" ref="D61:H61" si="21">D62*(1-$H$3)</f>
        <v>-1.4999999999999999E-2</v>
      </c>
      <c r="E61" s="13">
        <f t="shared" si="21"/>
        <v>-1.4999999999999999E-2</v>
      </c>
      <c r="F61" s="13">
        <f t="shared" si="21"/>
        <v>-1.4999999999999999E-2</v>
      </c>
      <c r="G61" s="13">
        <f t="shared" si="21"/>
        <v>-1.4999999999999999E-2</v>
      </c>
      <c r="H61" s="13">
        <f t="shared" si="21"/>
        <v>-1.4999999999999999E-2</v>
      </c>
    </row>
    <row r="62" spans="2:8" ht="15.75" customHeight="1" x14ac:dyDescent="0.25">
      <c r="B62" s="12" t="s">
        <v>31</v>
      </c>
      <c r="D62" s="13">
        <v>-1.7647058823529412E-2</v>
      </c>
      <c r="E62" s="13">
        <v>-1.7647058823529412E-2</v>
      </c>
      <c r="F62" s="13">
        <v>-1.7647058823529412E-2</v>
      </c>
      <c r="G62" s="13">
        <v>-1.7647058823529412E-2</v>
      </c>
      <c r="H62" s="13">
        <v>-1.7647058823529412E-2</v>
      </c>
    </row>
    <row r="63" spans="2:8" ht="15.75" customHeight="1" x14ac:dyDescent="0.25">
      <c r="B63" s="12" t="s">
        <v>32</v>
      </c>
      <c r="D63" s="13">
        <f t="shared" ref="D63:H63" si="22">D62*(1+$H$5)</f>
        <v>-1.411764705882353E-2</v>
      </c>
      <c r="E63" s="13">
        <f t="shared" si="22"/>
        <v>-1.411764705882353E-2</v>
      </c>
      <c r="F63" s="13">
        <f t="shared" si="22"/>
        <v>-1.411764705882353E-2</v>
      </c>
      <c r="G63" s="13">
        <f t="shared" si="22"/>
        <v>-1.411764705882353E-2</v>
      </c>
      <c r="H63" s="13">
        <f t="shared" si="22"/>
        <v>-1.411764705882353E-2</v>
      </c>
    </row>
    <row r="64" spans="2:8" ht="3" customHeight="1" x14ac:dyDescent="0.25"/>
    <row r="65" spans="2:8" ht="15.75" customHeight="1" x14ac:dyDescent="0.25">
      <c r="B65" s="9" t="str">
        <f>'Source PnL'!B23</f>
        <v>Legal Cost</v>
      </c>
      <c r="D65" s="9">
        <f t="shared" ref="D65:H65" si="23">D66*D$8</f>
        <v>-80000</v>
      </c>
      <c r="E65" s="9">
        <f t="shared" si="23"/>
        <v>-83999.999999999985</v>
      </c>
      <c r="F65" s="9">
        <f t="shared" si="23"/>
        <v>-88199.999999999985</v>
      </c>
      <c r="G65" s="9">
        <f t="shared" si="23"/>
        <v>-92609.999999999985</v>
      </c>
      <c r="H65" s="9">
        <f t="shared" si="23"/>
        <v>-97240.499999999985</v>
      </c>
    </row>
    <row r="66" spans="2:8" ht="15.75" customHeight="1" x14ac:dyDescent="0.25">
      <c r="B66" s="10" t="s">
        <v>34</v>
      </c>
      <c r="D66" s="11">
        <f t="shared" ref="D66:H66" si="24">+CHOOSE($E$4,D67,D68,D69)</f>
        <v>-4.7058823529411761E-4</v>
      </c>
      <c r="E66" s="11">
        <f t="shared" si="24"/>
        <v>-4.7058823529411761E-4</v>
      </c>
      <c r="F66" s="11">
        <f t="shared" si="24"/>
        <v>-4.7058823529411761E-4</v>
      </c>
      <c r="G66" s="11">
        <f t="shared" si="24"/>
        <v>-4.7058823529411761E-4</v>
      </c>
      <c r="H66" s="11">
        <f t="shared" si="24"/>
        <v>-4.7058823529411761E-4</v>
      </c>
    </row>
    <row r="67" spans="2:8" ht="15.75" customHeight="1" x14ac:dyDescent="0.25">
      <c r="B67" s="12" t="s">
        <v>30</v>
      </c>
      <c r="D67" s="13">
        <f t="shared" ref="D67:H67" si="25">D68*(1-$H$3)</f>
        <v>-4.999999999999999E-4</v>
      </c>
      <c r="E67" s="13">
        <f t="shared" si="25"/>
        <v>-4.999999999999999E-4</v>
      </c>
      <c r="F67" s="13">
        <f t="shared" si="25"/>
        <v>-4.999999999999999E-4</v>
      </c>
      <c r="G67" s="13">
        <f t="shared" si="25"/>
        <v>-4.999999999999999E-4</v>
      </c>
      <c r="H67" s="13">
        <f t="shared" si="25"/>
        <v>-4.999999999999999E-4</v>
      </c>
    </row>
    <row r="68" spans="2:8" ht="15.75" customHeight="1" x14ac:dyDescent="0.25">
      <c r="B68" s="12" t="s">
        <v>31</v>
      </c>
      <c r="D68" s="13">
        <v>-5.8823529411764701E-4</v>
      </c>
      <c r="E68" s="13">
        <v>-5.8823529411764701E-4</v>
      </c>
      <c r="F68" s="13">
        <v>-5.8823529411764701E-4</v>
      </c>
      <c r="G68" s="13">
        <v>-5.8823529411764701E-4</v>
      </c>
      <c r="H68" s="13">
        <v>-5.8823529411764701E-4</v>
      </c>
    </row>
    <row r="69" spans="2:8" ht="15.75" customHeight="1" x14ac:dyDescent="0.25">
      <c r="B69" s="12" t="s">
        <v>32</v>
      </c>
      <c r="D69" s="13">
        <f t="shared" ref="D69:H69" si="26">D68*(1+$H$5)</f>
        <v>-4.7058823529411761E-4</v>
      </c>
      <c r="E69" s="13">
        <f t="shared" si="26"/>
        <v>-4.7058823529411761E-4</v>
      </c>
      <c r="F69" s="13">
        <f t="shared" si="26"/>
        <v>-4.7058823529411761E-4</v>
      </c>
      <c r="G69" s="13">
        <f t="shared" si="26"/>
        <v>-4.7058823529411761E-4</v>
      </c>
      <c r="H69" s="13">
        <f t="shared" si="26"/>
        <v>-4.7058823529411761E-4</v>
      </c>
    </row>
    <row r="70" spans="2:8" ht="3" customHeight="1" x14ac:dyDescent="0.25"/>
    <row r="71" spans="2:8" ht="15.75" customHeight="1" x14ac:dyDescent="0.25">
      <c r="B71" s="9" t="str">
        <f>'Source PnL'!B24</f>
        <v>Office Expenses</v>
      </c>
      <c r="D71" s="9">
        <f t="shared" ref="D71:H71" si="27">D72*D$8</f>
        <v>-800000.00000000012</v>
      </c>
      <c r="E71" s="9">
        <f t="shared" si="27"/>
        <v>-840000.00000000012</v>
      </c>
      <c r="F71" s="9">
        <f t="shared" si="27"/>
        <v>-882000.00000000012</v>
      </c>
      <c r="G71" s="9">
        <f t="shared" si="27"/>
        <v>-926100.00000000012</v>
      </c>
      <c r="H71" s="9">
        <f t="shared" si="27"/>
        <v>-972405.00000000012</v>
      </c>
    </row>
    <row r="72" spans="2:8" ht="15.75" customHeight="1" x14ac:dyDescent="0.25">
      <c r="B72" s="10" t="s">
        <v>34</v>
      </c>
      <c r="D72" s="11">
        <f t="shared" ref="D72:H72" si="28">+CHOOSE($E$4,D73,D74,D75)</f>
        <v>-4.7058823529411769E-3</v>
      </c>
      <c r="E72" s="11">
        <f t="shared" si="28"/>
        <v>-4.7058823529411769E-3</v>
      </c>
      <c r="F72" s="11">
        <f t="shared" si="28"/>
        <v>-4.7058823529411769E-3</v>
      </c>
      <c r="G72" s="11">
        <f t="shared" si="28"/>
        <v>-4.7058823529411769E-3</v>
      </c>
      <c r="H72" s="11">
        <f t="shared" si="28"/>
        <v>-4.7058823529411769E-3</v>
      </c>
    </row>
    <row r="73" spans="2:8" ht="15.75" customHeight="1" x14ac:dyDescent="0.25">
      <c r="B73" s="12" t="s">
        <v>30</v>
      </c>
      <c r="D73" s="13">
        <f t="shared" ref="D73:H73" si="29">D74*(1-$H$3)</f>
        <v>-5.0000000000000001E-3</v>
      </c>
      <c r="E73" s="13">
        <f t="shared" si="29"/>
        <v>-5.0000000000000001E-3</v>
      </c>
      <c r="F73" s="13">
        <f t="shared" si="29"/>
        <v>-5.0000000000000001E-3</v>
      </c>
      <c r="G73" s="13">
        <f t="shared" si="29"/>
        <v>-5.0000000000000001E-3</v>
      </c>
      <c r="H73" s="13">
        <f t="shared" si="29"/>
        <v>-5.0000000000000001E-3</v>
      </c>
    </row>
    <row r="74" spans="2:8" ht="15.75" customHeight="1" x14ac:dyDescent="0.25">
      <c r="B74" s="12" t="s">
        <v>31</v>
      </c>
      <c r="D74" s="13">
        <v>-5.8823529411764705E-3</v>
      </c>
      <c r="E74" s="13">
        <v>-5.8823529411764705E-3</v>
      </c>
      <c r="F74" s="13">
        <v>-5.8823529411764705E-3</v>
      </c>
      <c r="G74" s="13">
        <v>-5.8823529411764705E-3</v>
      </c>
      <c r="H74" s="13">
        <v>-5.8823529411764705E-3</v>
      </c>
    </row>
    <row r="75" spans="2:8" ht="15.75" customHeight="1" x14ac:dyDescent="0.25">
      <c r="B75" s="12" t="s">
        <v>32</v>
      </c>
      <c r="D75" s="13">
        <f t="shared" ref="D75:H75" si="30">D74*(1+$H$5)</f>
        <v>-4.7058823529411769E-3</v>
      </c>
      <c r="E75" s="13">
        <f t="shared" si="30"/>
        <v>-4.7058823529411769E-3</v>
      </c>
      <c r="F75" s="13">
        <f t="shared" si="30"/>
        <v>-4.7058823529411769E-3</v>
      </c>
      <c r="G75" s="13">
        <f t="shared" si="30"/>
        <v>-4.7058823529411769E-3</v>
      </c>
      <c r="H75" s="13">
        <f t="shared" si="30"/>
        <v>-4.7058823529411769E-3</v>
      </c>
    </row>
    <row r="76" spans="2:8" ht="3" customHeight="1" x14ac:dyDescent="0.25"/>
    <row r="77" spans="2:8" ht="15.75" customHeight="1" x14ac:dyDescent="0.25">
      <c r="B77" s="9" t="str">
        <f>'Source PnL'!B25</f>
        <v>Misc Expenses</v>
      </c>
      <c r="D77" s="9">
        <f t="shared" ref="D77:H77" si="31">D78*D$8</f>
        <v>-400000.00000000006</v>
      </c>
      <c r="E77" s="9">
        <f t="shared" si="31"/>
        <v>-420000.00000000006</v>
      </c>
      <c r="F77" s="9">
        <f t="shared" si="31"/>
        <v>-441000.00000000006</v>
      </c>
      <c r="G77" s="9">
        <f t="shared" si="31"/>
        <v>-463050.00000000006</v>
      </c>
      <c r="H77" s="9">
        <f t="shared" si="31"/>
        <v>-486202.50000000006</v>
      </c>
    </row>
    <row r="78" spans="2:8" ht="15.75" customHeight="1" x14ac:dyDescent="0.25">
      <c r="B78" s="10" t="s">
        <v>34</v>
      </c>
      <c r="D78" s="11">
        <f t="shared" ref="D78:H78" si="32">+CHOOSE($E$4,D79,D80,D81)</f>
        <v>-2.3529411764705885E-3</v>
      </c>
      <c r="E78" s="11">
        <f t="shared" si="32"/>
        <v>-2.3529411764705885E-3</v>
      </c>
      <c r="F78" s="11">
        <f t="shared" si="32"/>
        <v>-2.3529411764705885E-3</v>
      </c>
      <c r="G78" s="11">
        <f t="shared" si="32"/>
        <v>-2.3529411764705885E-3</v>
      </c>
      <c r="H78" s="11">
        <f t="shared" si="32"/>
        <v>-2.3529411764705885E-3</v>
      </c>
    </row>
    <row r="79" spans="2:8" ht="15.75" customHeight="1" x14ac:dyDescent="0.25">
      <c r="B79" s="12" t="s">
        <v>30</v>
      </c>
      <c r="D79" s="13">
        <f t="shared" ref="D79:H79" si="33">D80*(1-$H$3)</f>
        <v>-2.5000000000000001E-3</v>
      </c>
      <c r="E79" s="13">
        <f t="shared" si="33"/>
        <v>-2.5000000000000001E-3</v>
      </c>
      <c r="F79" s="13">
        <f t="shared" si="33"/>
        <v>-2.5000000000000001E-3</v>
      </c>
      <c r="G79" s="13">
        <f t="shared" si="33"/>
        <v>-2.5000000000000001E-3</v>
      </c>
      <c r="H79" s="13">
        <f t="shared" si="33"/>
        <v>-2.5000000000000001E-3</v>
      </c>
    </row>
    <row r="80" spans="2:8" ht="15.75" customHeight="1" x14ac:dyDescent="0.25">
      <c r="B80" s="12" t="s">
        <v>31</v>
      </c>
      <c r="D80" s="13">
        <v>-2.9411764705882353E-3</v>
      </c>
      <c r="E80" s="13">
        <v>-2.9411764705882353E-3</v>
      </c>
      <c r="F80" s="13">
        <v>-2.9411764705882353E-3</v>
      </c>
      <c r="G80" s="13">
        <v>-2.9411764705882353E-3</v>
      </c>
      <c r="H80" s="13">
        <v>-2.9411764705882353E-3</v>
      </c>
    </row>
    <row r="81" spans="2:8" ht="15.75" customHeight="1" x14ac:dyDescent="0.25">
      <c r="B81" s="12" t="s">
        <v>32</v>
      </c>
      <c r="D81" s="13">
        <f t="shared" ref="D81:H81" si="34">D80*(1+$H$5)</f>
        <v>-2.3529411764705885E-3</v>
      </c>
      <c r="E81" s="13">
        <f t="shared" si="34"/>
        <v>-2.3529411764705885E-3</v>
      </c>
      <c r="F81" s="13">
        <f t="shared" si="34"/>
        <v>-2.3529411764705885E-3</v>
      </c>
      <c r="G81" s="13">
        <f t="shared" si="34"/>
        <v>-2.3529411764705885E-3</v>
      </c>
      <c r="H81" s="13">
        <f t="shared" si="34"/>
        <v>-2.3529411764705885E-3</v>
      </c>
    </row>
    <row r="82" spans="2:8" ht="3" customHeight="1" x14ac:dyDescent="0.25"/>
    <row r="83" spans="2:8" ht="15.75" customHeight="1" x14ac:dyDescent="0.25">
      <c r="B83" s="9" t="str">
        <f>'Source PnL'!B30</f>
        <v>Interest Cost</v>
      </c>
      <c r="D83" s="9">
        <f>-'Debt Schedule'!D13</f>
        <v>-400000</v>
      </c>
      <c r="E83" s="9">
        <f>-'Debt Schedule'!D14</f>
        <v>-365022.39297007467</v>
      </c>
      <c r="F83" s="9">
        <f>-'Debt Schedule'!D15</f>
        <v>-326547.02523715678</v>
      </c>
      <c r="G83" s="9">
        <f>-'Debt Schedule'!D16</f>
        <v>-284224.12073094706</v>
      </c>
      <c r="H83" s="9">
        <f>-'Debt Schedule'!D17</f>
        <v>-237668.92577411642</v>
      </c>
    </row>
    <row r="84" spans="2:8" ht="15.75" customHeight="1" x14ac:dyDescent="0.25"/>
    <row r="85" spans="2:8" ht="15.75" customHeight="1" x14ac:dyDescent="0.25"/>
    <row r="86" spans="2:8" ht="15.75" customHeight="1" x14ac:dyDescent="0.25"/>
    <row r="87" spans="2:8" ht="15.75" customHeight="1" x14ac:dyDescent="0.25"/>
    <row r="88" spans="2:8" ht="15.75" customHeight="1" x14ac:dyDescent="0.25"/>
    <row r="89" spans="2:8" ht="15.75" customHeight="1" x14ac:dyDescent="0.25"/>
    <row r="90" spans="2:8" ht="15.75" customHeight="1" x14ac:dyDescent="0.25"/>
    <row r="91" spans="2:8" ht="15.75" customHeight="1" x14ac:dyDescent="0.25"/>
    <row r="92" spans="2:8" ht="15.75" customHeight="1" x14ac:dyDescent="0.25"/>
    <row r="93" spans="2:8" ht="15.75" customHeight="1" x14ac:dyDescent="0.25"/>
    <row r="94" spans="2:8" ht="15.75" customHeight="1" x14ac:dyDescent="0.25"/>
    <row r="95" spans="2:8" ht="15.75" customHeight="1" x14ac:dyDescent="0.25"/>
    <row r="96" spans="2:8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dataValidations count="2">
    <dataValidation type="custom" allowBlank="1" showErrorMessage="1" sqref="J3" xr:uid="{00000000-0002-0000-0100-000000000000}">
      <formula1>LT(LEN(J3),(7))</formula1>
    </dataValidation>
    <dataValidation type="list" allowBlank="1" showErrorMessage="1" sqref="E4" xr:uid="{00000000-0002-0000-0100-000001000000}">
      <formula1>"1,2,3"</formula1>
    </dataValidation>
  </dataValidations>
  <pageMargins left="0.7" right="0.7" top="0.75" bottom="0.75" header="0" footer="0"/>
  <pageSetup scale="64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K1000"/>
  <sheetViews>
    <sheetView showGridLines="0" workbookViewId="0"/>
  </sheetViews>
  <sheetFormatPr defaultColWidth="14.42578125" defaultRowHeight="15" customHeight="1" x14ac:dyDescent="0.25"/>
  <cols>
    <col min="1" max="1" width="0.85546875" customWidth="1"/>
    <col min="2" max="2" width="24.28515625" customWidth="1"/>
    <col min="3" max="3" width="0.85546875" customWidth="1"/>
    <col min="4" max="6" width="15.28515625" customWidth="1"/>
    <col min="7" max="7" width="16.7109375" customWidth="1"/>
    <col min="8" max="8" width="15.28515625" customWidth="1"/>
    <col min="9" max="9" width="8.7109375" customWidth="1"/>
    <col min="10" max="10" width="19.140625" customWidth="1"/>
    <col min="11" max="11" width="39" customWidth="1"/>
    <col min="12" max="26" width="8.7109375" customWidth="1"/>
  </cols>
  <sheetData>
    <row r="2" spans="2:11" ht="23.25" x14ac:dyDescent="0.35">
      <c r="B2" s="1" t="s">
        <v>35</v>
      </c>
      <c r="C2" s="1"/>
    </row>
    <row r="3" spans="2:11" x14ac:dyDescent="0.25">
      <c r="H3" s="5"/>
      <c r="J3" s="6"/>
    </row>
    <row r="4" spans="2:11" x14ac:dyDescent="0.25">
      <c r="D4" s="14"/>
      <c r="E4" s="14"/>
      <c r="H4" s="14"/>
    </row>
    <row r="5" spans="2:11" x14ac:dyDescent="0.25">
      <c r="H5" s="5"/>
    </row>
    <row r="6" spans="2:11" x14ac:dyDescent="0.25">
      <c r="D6" s="15"/>
      <c r="E6" s="15"/>
      <c r="F6" s="15"/>
      <c r="G6" s="15"/>
      <c r="H6" s="15"/>
    </row>
    <row r="7" spans="2:11" x14ac:dyDescent="0.25">
      <c r="D7" s="7" t="s">
        <v>23</v>
      </c>
      <c r="E7" s="7" t="s">
        <v>24</v>
      </c>
      <c r="F7" s="7" t="s">
        <v>25</v>
      </c>
      <c r="G7" s="7" t="s">
        <v>26</v>
      </c>
      <c r="H7" s="7" t="s">
        <v>27</v>
      </c>
    </row>
    <row r="8" spans="2:11" x14ac:dyDescent="0.25">
      <c r="B8" s="7" t="s">
        <v>36</v>
      </c>
      <c r="C8" s="3"/>
      <c r="D8" s="8">
        <f>D9*PnL!D9/365</f>
        <v>2549999.9999999995</v>
      </c>
      <c r="E8" s="8">
        <f>E9*PnL!E9/365</f>
        <v>2677499.9999999995</v>
      </c>
      <c r="F8" s="8">
        <f>F9*PnL!F9/365</f>
        <v>2811374.9999999995</v>
      </c>
      <c r="G8" s="8">
        <f>G9*PnL!G9/365</f>
        <v>2951943.75</v>
      </c>
      <c r="H8" s="8">
        <f>H9*PnL!H9/365</f>
        <v>3099540.9375</v>
      </c>
    </row>
    <row r="9" spans="2:11" x14ac:dyDescent="0.25">
      <c r="B9" s="10" t="s">
        <v>37</v>
      </c>
      <c r="D9" s="16">
        <f>'Source BS'!$E$12*365/'Source PnL'!$D$9</f>
        <v>5.4749999999999996</v>
      </c>
      <c r="E9" s="16">
        <f>'Source BS'!$E$12*365/'Source PnL'!$D$9</f>
        <v>5.4749999999999996</v>
      </c>
      <c r="F9" s="16">
        <f>'Source BS'!$E$12*365/'Source PnL'!$D$9</f>
        <v>5.4749999999999996</v>
      </c>
      <c r="G9" s="16">
        <f>'Source BS'!$E$12*365/'Source PnL'!$D$9</f>
        <v>5.4749999999999996</v>
      </c>
      <c r="H9" s="16">
        <f>'Source BS'!$E$12*365/'Source PnL'!$D$9</f>
        <v>5.4749999999999996</v>
      </c>
      <c r="I9" s="17">
        <f>'Source BS'!E12*365/'Source PnL'!D9</f>
        <v>5.4749999999999996</v>
      </c>
      <c r="J9" s="2" t="s">
        <v>38</v>
      </c>
      <c r="K9" s="2" t="s">
        <v>39</v>
      </c>
    </row>
    <row r="10" spans="2:11" ht="3" customHeight="1" x14ac:dyDescent="0.25"/>
    <row r="11" spans="2:11" x14ac:dyDescent="0.25">
      <c r="B11" s="7" t="s">
        <v>40</v>
      </c>
      <c r="C11" s="3"/>
      <c r="D11" s="8">
        <f>D12*-PnL!D15/365</f>
        <v>900000</v>
      </c>
      <c r="E11" s="8">
        <f>E12*-PnL!E15/365</f>
        <v>945000</v>
      </c>
      <c r="F11" s="8">
        <f>F12*-PnL!F15/365</f>
        <v>992250</v>
      </c>
      <c r="G11" s="8">
        <f>G12*-PnL!G15/365</f>
        <v>1041862.5</v>
      </c>
      <c r="H11" s="8">
        <f>H12*-PnL!H15/365</f>
        <v>1093955.625</v>
      </c>
    </row>
    <row r="12" spans="2:11" x14ac:dyDescent="0.25">
      <c r="B12" s="10" t="s">
        <v>37</v>
      </c>
      <c r="D12" s="16">
        <f>'Source BS'!$E$10*365/-'Source PnL'!$D$15</f>
        <v>7.3</v>
      </c>
      <c r="E12" s="16">
        <f>'Source BS'!$E$10*365/-'Source PnL'!$D$15</f>
        <v>7.3</v>
      </c>
      <c r="F12" s="16">
        <f>'Source BS'!$E$10*365/-'Source PnL'!$D$15</f>
        <v>7.3</v>
      </c>
      <c r="G12" s="16">
        <f>'Source BS'!$E$10*365/-'Source PnL'!$D$15</f>
        <v>7.3</v>
      </c>
      <c r="H12" s="16">
        <f>'Source BS'!$E$10*365/-'Source PnL'!$D$15</f>
        <v>7.3</v>
      </c>
    </row>
    <row r="13" spans="2:11" ht="3" customHeight="1" x14ac:dyDescent="0.25"/>
    <row r="14" spans="2:11" x14ac:dyDescent="0.25">
      <c r="B14" s="7" t="s">
        <v>41</v>
      </c>
      <c r="C14" s="3"/>
      <c r="D14" s="8">
        <f>D15*-PnL!D15/365</f>
        <v>1800000</v>
      </c>
      <c r="E14" s="8">
        <f>E15*-PnL!E15/365</f>
        <v>1890000</v>
      </c>
      <c r="F14" s="8">
        <f>F15*-PnL!F15/365</f>
        <v>1984500</v>
      </c>
      <c r="G14" s="8">
        <f>G15*-PnL!G15/365</f>
        <v>2083725</v>
      </c>
      <c r="H14" s="8">
        <f>H15*-PnL!H15/365</f>
        <v>2187911.25</v>
      </c>
    </row>
    <row r="15" spans="2:11" x14ac:dyDescent="0.25">
      <c r="B15" s="10" t="s">
        <v>37</v>
      </c>
      <c r="D15" s="16">
        <f>'Source BS'!$K$9/-'Source PnL'!$D$15*365</f>
        <v>14.6</v>
      </c>
      <c r="E15" s="16">
        <f>'Source BS'!$K$9/-'Source PnL'!$D$15*365</f>
        <v>14.6</v>
      </c>
      <c r="F15" s="16">
        <f>'Source BS'!$K$9/-'Source PnL'!$D$15*365</f>
        <v>14.6</v>
      </c>
      <c r="G15" s="16">
        <f>'Source BS'!$K$9/-'Source PnL'!$D$15*365</f>
        <v>14.6</v>
      </c>
      <c r="H15" s="16">
        <f>'Source BS'!$K$9/-'Source PnL'!$D$15*365</f>
        <v>14.6</v>
      </c>
    </row>
    <row r="16" spans="2:11" ht="3" customHeight="1" x14ac:dyDescent="0.25"/>
    <row r="17" spans="2:8" x14ac:dyDescent="0.25">
      <c r="B17" s="7" t="s">
        <v>42</v>
      </c>
      <c r="C17" s="3"/>
      <c r="D17" s="8">
        <f>PnL!D9*'BS Assumption '!D18</f>
        <v>8500000</v>
      </c>
      <c r="E17" s="8">
        <f>PnL!E9*'BS Assumption '!E18</f>
        <v>8925000</v>
      </c>
      <c r="F17" s="8">
        <f>PnL!F9*'BS Assumption '!F18</f>
        <v>9371250</v>
      </c>
      <c r="G17" s="8">
        <f>PnL!G9*'BS Assumption '!G18</f>
        <v>9839812.5</v>
      </c>
      <c r="H17" s="8">
        <f>PnL!H9*'BS Assumption '!H18</f>
        <v>10331803.125</v>
      </c>
    </row>
    <row r="18" spans="2:8" x14ac:dyDescent="0.25">
      <c r="B18" s="10" t="s">
        <v>34</v>
      </c>
      <c r="D18" s="11">
        <f>'Source BS'!$E$6/'Source PnL'!$D$9</f>
        <v>0.05</v>
      </c>
      <c r="E18" s="11">
        <f>'Source BS'!$E$6/'Source PnL'!$D$9</f>
        <v>0.05</v>
      </c>
      <c r="F18" s="11">
        <f>'Source BS'!$E$6/'Source PnL'!$D$9</f>
        <v>0.05</v>
      </c>
      <c r="G18" s="11">
        <f>'Source BS'!$E$6/'Source PnL'!$D$9</f>
        <v>0.05</v>
      </c>
      <c r="H18" s="11">
        <f>'Source BS'!$E$6/'Source PnL'!$D$9</f>
        <v>0.05</v>
      </c>
    </row>
    <row r="19" spans="2:8" ht="3" customHeight="1" x14ac:dyDescent="0.25"/>
    <row r="20" spans="2:8" x14ac:dyDescent="0.25">
      <c r="B20" s="7" t="s">
        <v>43</v>
      </c>
      <c r="C20" s="3"/>
      <c r="D20" s="8">
        <f>PnL!D9*'BS Assumption '!D21</f>
        <v>5100000</v>
      </c>
      <c r="E20" s="8">
        <f>PnL!E9*'BS Assumption '!E21</f>
        <v>5355000</v>
      </c>
      <c r="F20" s="8">
        <f>PnL!F9*'BS Assumption '!F21</f>
        <v>5622750</v>
      </c>
      <c r="G20" s="8">
        <f>PnL!G9*'BS Assumption '!G21</f>
        <v>5903887.5</v>
      </c>
      <c r="H20" s="8">
        <f>PnL!H9*'BS Assumption '!H21</f>
        <v>6199081.875</v>
      </c>
    </row>
    <row r="21" spans="2:8" ht="15.75" customHeight="1" x14ac:dyDescent="0.25">
      <c r="B21" s="10" t="s">
        <v>34</v>
      </c>
      <c r="D21" s="11">
        <f>'Source BS'!$E$7/'Source PnL'!$D$9</f>
        <v>0.03</v>
      </c>
      <c r="E21" s="11">
        <f>'Source BS'!$E$7/'Source PnL'!$D$9</f>
        <v>0.03</v>
      </c>
      <c r="F21" s="11">
        <f>'Source BS'!$E$7/'Source PnL'!$D$9</f>
        <v>0.03</v>
      </c>
      <c r="G21" s="11">
        <f>'Source BS'!$E$7/'Source PnL'!$D$9</f>
        <v>0.03</v>
      </c>
      <c r="H21" s="11">
        <f>'Source BS'!$E$7/'Source PnL'!$D$9</f>
        <v>0.03</v>
      </c>
    </row>
    <row r="22" spans="2:8" ht="3" customHeight="1" x14ac:dyDescent="0.25"/>
    <row r="23" spans="2:8" ht="15.75" customHeight="1" x14ac:dyDescent="0.25">
      <c r="B23" s="7" t="s">
        <v>44</v>
      </c>
      <c r="C23" s="3"/>
      <c r="D23" s="8">
        <f>-PnL!D15*'BS Assumption '!D24</f>
        <v>450000</v>
      </c>
      <c r="E23" s="8">
        <f>-PnL!E15*'BS Assumption '!E24</f>
        <v>472500</v>
      </c>
      <c r="F23" s="8">
        <f>-PnL!F15*'BS Assumption '!F24</f>
        <v>496125</v>
      </c>
      <c r="G23" s="8">
        <f>-PnL!G15*'BS Assumption '!G24</f>
        <v>520931.25</v>
      </c>
      <c r="H23" s="8">
        <f>-PnL!H15*'BS Assumption '!H24</f>
        <v>546977.8125</v>
      </c>
    </row>
    <row r="24" spans="2:8" ht="15.75" customHeight="1" x14ac:dyDescent="0.25">
      <c r="B24" s="10" t="s">
        <v>45</v>
      </c>
      <c r="D24" s="11">
        <f>'Source BS'!$K$10/-'Source PnL'!$D$15</f>
        <v>0.01</v>
      </c>
      <c r="E24" s="11">
        <f>'Source BS'!$K$10/-'Source PnL'!$D$15</f>
        <v>0.01</v>
      </c>
      <c r="F24" s="11">
        <f>'Source BS'!$K$10/-'Source PnL'!$D$15</f>
        <v>0.01</v>
      </c>
      <c r="G24" s="11">
        <f>'Source BS'!$K$10/-'Source PnL'!$D$15</f>
        <v>0.01</v>
      </c>
      <c r="H24" s="11">
        <f>'Source BS'!$K$10/-'Source PnL'!$D$15</f>
        <v>0.01</v>
      </c>
    </row>
    <row r="25" spans="2:8" ht="15.75" customHeight="1" x14ac:dyDescent="0.25">
      <c r="E25" s="14"/>
    </row>
    <row r="26" spans="2:8" ht="15.75" customHeight="1" x14ac:dyDescent="0.25"/>
    <row r="27" spans="2:8" ht="15.75" customHeight="1" x14ac:dyDescent="0.25"/>
    <row r="28" spans="2:8" ht="3" customHeight="1" x14ac:dyDescent="0.25"/>
    <row r="29" spans="2:8" ht="15.75" customHeight="1" x14ac:dyDescent="0.25"/>
    <row r="30" spans="2:8" ht="15.75" customHeight="1" x14ac:dyDescent="0.25"/>
    <row r="31" spans="2:8" ht="15.75" customHeight="1" x14ac:dyDescent="0.25"/>
    <row r="32" spans="2:8" ht="15.75" customHeight="1" x14ac:dyDescent="0.25"/>
    <row r="33" ht="15.75" customHeight="1" x14ac:dyDescent="0.25"/>
    <row r="34" ht="3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3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3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3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3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3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3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3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dataValidations count="1">
    <dataValidation type="custom" allowBlank="1" showErrorMessage="1" sqref="J3" xr:uid="{00000000-0002-0000-0200-000000000000}">
      <formula1>LT(LEN(J3),(7))</formula1>
    </dataValidation>
  </dataValidations>
  <pageMargins left="0.7" right="0.7" top="0.75" bottom="0.75" header="0" footer="0"/>
  <pageSetup scale="64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K1000"/>
  <sheetViews>
    <sheetView showGridLines="0" workbookViewId="0"/>
  </sheetViews>
  <sheetFormatPr defaultColWidth="14.42578125" defaultRowHeight="15" customHeight="1" x14ac:dyDescent="0.25"/>
  <cols>
    <col min="1" max="1" width="1.42578125" customWidth="1"/>
    <col min="2" max="2" width="20.140625" customWidth="1"/>
    <col min="3" max="3" width="0.85546875" customWidth="1"/>
    <col min="4" max="8" width="15.28515625" customWidth="1"/>
    <col min="9" max="26" width="8.7109375" customWidth="1"/>
  </cols>
  <sheetData>
    <row r="2" spans="2:11" ht="23.25" x14ac:dyDescent="0.35">
      <c r="B2" s="1" t="s">
        <v>46</v>
      </c>
      <c r="C2" s="1"/>
    </row>
    <row r="4" spans="2:11" x14ac:dyDescent="0.25">
      <c r="D4" s="7" t="str">
        <f>'Profit and Loss Assumption'!D7</f>
        <v>Year 1</v>
      </c>
      <c r="E4" s="7" t="str">
        <f>'Profit and Loss Assumption'!E7</f>
        <v>Year 2</v>
      </c>
      <c r="F4" s="7" t="str">
        <f>'Profit and Loss Assumption'!F7</f>
        <v>Year 3</v>
      </c>
      <c r="G4" s="7" t="str">
        <f>'Profit and Loss Assumption'!G7</f>
        <v>Year 4</v>
      </c>
      <c r="H4" s="7" t="str">
        <f>'Profit and Loss Assumption'!H7</f>
        <v>Year 5</v>
      </c>
    </row>
    <row r="5" spans="2:11" x14ac:dyDescent="0.25">
      <c r="B5" s="7" t="str">
        <f>'Source PnL'!B5</f>
        <v>Revenue</v>
      </c>
    </row>
    <row r="6" spans="2:11" x14ac:dyDescent="0.25">
      <c r="B6" s="12" t="str">
        <f>'Source PnL'!B6</f>
        <v>R-Stream - 1</v>
      </c>
      <c r="D6" s="18">
        <f>SUMIF('Profit and Loss Assumption'!$B:$B,PnL!$B6,'Profit and Loss Assumption'!D:D)</f>
        <v>40000000</v>
      </c>
      <c r="E6" s="18">
        <f>SUMIF('Profit and Loss Assumption'!$B:$B,PnL!$B6,'Profit and Loss Assumption'!E:E)</f>
        <v>42000000</v>
      </c>
      <c r="F6" s="18">
        <f>SUMIF('Profit and Loss Assumption'!$B:$B,PnL!$B6,'Profit and Loss Assumption'!F:F)</f>
        <v>44100000</v>
      </c>
      <c r="G6" s="18">
        <f>SUMIF('Profit and Loss Assumption'!$B:$B,PnL!$B6,'Profit and Loss Assumption'!G:G)</f>
        <v>46305000</v>
      </c>
      <c r="H6" s="18">
        <f>SUMIF('Profit and Loss Assumption'!$B:$B,PnL!$B6,'Profit and Loss Assumption'!H:H)</f>
        <v>48620250</v>
      </c>
    </row>
    <row r="7" spans="2:11" x14ac:dyDescent="0.25">
      <c r="B7" s="12" t="str">
        <f>'Source PnL'!B7</f>
        <v>R-Stream - 2</v>
      </c>
      <c r="D7" s="18">
        <f>SUMIF('Profit and Loss Assumption'!$B:$B,PnL!$B7,'Profit and Loss Assumption'!D:D)</f>
        <v>20000000</v>
      </c>
      <c r="E7" s="18">
        <f>SUMIF('Profit and Loss Assumption'!$B:$B,PnL!$B7,'Profit and Loss Assumption'!E:E)</f>
        <v>21000000</v>
      </c>
      <c r="F7" s="18">
        <f>SUMIF('Profit and Loss Assumption'!$B:$B,PnL!$B7,'Profit and Loss Assumption'!F:F)</f>
        <v>22050000</v>
      </c>
      <c r="G7" s="18">
        <f>SUMIF('Profit and Loss Assumption'!$B:$B,PnL!$B7,'Profit and Loss Assumption'!G:G)</f>
        <v>23152500</v>
      </c>
      <c r="H7" s="18">
        <f>SUMIF('Profit and Loss Assumption'!$B:$B,PnL!$B7,'Profit and Loss Assumption'!H:H)</f>
        <v>24310125</v>
      </c>
      <c r="K7" s="2" t="s">
        <v>47</v>
      </c>
    </row>
    <row r="8" spans="2:11" x14ac:dyDescent="0.25">
      <c r="B8" s="12" t="str">
        <f>'Source PnL'!B8</f>
        <v>R-Stream - 3</v>
      </c>
      <c r="C8" s="3"/>
      <c r="D8" s="18">
        <f>SUMIF('Profit and Loss Assumption'!$B:$B,PnL!$B8,'Profit and Loss Assumption'!D:D)</f>
        <v>110000000</v>
      </c>
      <c r="E8" s="18">
        <f>SUMIF('Profit and Loss Assumption'!$B:$B,PnL!$B8,'Profit and Loss Assumption'!E:E)</f>
        <v>115500000</v>
      </c>
      <c r="F8" s="18">
        <f>SUMIF('Profit and Loss Assumption'!$B:$B,PnL!$B8,'Profit and Loss Assumption'!F:F)</f>
        <v>121275000</v>
      </c>
      <c r="G8" s="18">
        <f>SUMIF('Profit and Loss Assumption'!$B:$B,PnL!$B8,'Profit and Loss Assumption'!G:G)</f>
        <v>127338750</v>
      </c>
      <c r="H8" s="18">
        <f>SUMIF('Profit and Loss Assumption'!$B:$B,PnL!$B8,'Profit and Loss Assumption'!H:H)</f>
        <v>133705687.5</v>
      </c>
    </row>
    <row r="9" spans="2:11" x14ac:dyDescent="0.25">
      <c r="B9" s="10" t="str">
        <f>'Source PnL'!B9</f>
        <v>Total Revenue</v>
      </c>
      <c r="D9" s="19">
        <f t="shared" ref="D9:H9" si="0">SUM(D6:D8)</f>
        <v>170000000</v>
      </c>
      <c r="E9" s="19">
        <f t="shared" si="0"/>
        <v>178500000</v>
      </c>
      <c r="F9" s="19">
        <f t="shared" si="0"/>
        <v>187425000</v>
      </c>
      <c r="G9" s="19">
        <f t="shared" si="0"/>
        <v>196796250</v>
      </c>
      <c r="H9" s="19">
        <f t="shared" si="0"/>
        <v>206636062.5</v>
      </c>
      <c r="K9" s="2" t="s">
        <v>48</v>
      </c>
    </row>
    <row r="10" spans="2:11" ht="3" customHeight="1" x14ac:dyDescent="0.25"/>
    <row r="11" spans="2:11" x14ac:dyDescent="0.25">
      <c r="B11" s="7" t="str">
        <f>'Source PnL'!B11</f>
        <v>Less: Cost of Revenue</v>
      </c>
    </row>
    <row r="12" spans="2:11" x14ac:dyDescent="0.25">
      <c r="B12" s="12" t="str">
        <f>'Source PnL'!B12</f>
        <v>C-Stream - 1</v>
      </c>
      <c r="D12" s="18">
        <f>SUMIF('Profit and Loss Assumption'!$B:$B,PnL!$B12,'Profit and Loss Assumption'!D:D)</f>
        <v>-15000000</v>
      </c>
      <c r="E12" s="18">
        <f>SUMIF('Profit and Loss Assumption'!$B:$B,PnL!$B12,'Profit and Loss Assumption'!E:E)</f>
        <v>-15750000</v>
      </c>
      <c r="F12" s="18">
        <f>SUMIF('Profit and Loss Assumption'!$B:$B,PnL!$B12,'Profit and Loss Assumption'!F:F)</f>
        <v>-16537500</v>
      </c>
      <c r="G12" s="18">
        <f>SUMIF('Profit and Loss Assumption'!$B:$B,PnL!$B12,'Profit and Loss Assumption'!G:G)</f>
        <v>-17364375</v>
      </c>
      <c r="H12" s="18">
        <f>SUMIF('Profit and Loss Assumption'!$B:$B,PnL!$B12,'Profit and Loss Assumption'!H:H)</f>
        <v>-18232593.75</v>
      </c>
    </row>
    <row r="13" spans="2:11" x14ac:dyDescent="0.25">
      <c r="B13" s="12" t="str">
        <f>'Source PnL'!B13</f>
        <v>C-Stream - 2</v>
      </c>
      <c r="D13" s="18">
        <f>SUMIF('Profit and Loss Assumption'!$B:$B,PnL!$B13,'Profit and Loss Assumption'!D:D)</f>
        <v>-10000000</v>
      </c>
      <c r="E13" s="18">
        <f>SUMIF('Profit and Loss Assumption'!$B:$B,PnL!$B13,'Profit and Loss Assumption'!E:E)</f>
        <v>-10500000</v>
      </c>
      <c r="F13" s="18">
        <f>SUMIF('Profit and Loss Assumption'!$B:$B,PnL!$B13,'Profit and Loss Assumption'!F:F)</f>
        <v>-11025000</v>
      </c>
      <c r="G13" s="18">
        <f>SUMIF('Profit and Loss Assumption'!$B:$B,PnL!$B13,'Profit and Loss Assumption'!G:G)</f>
        <v>-11576250</v>
      </c>
      <c r="H13" s="18">
        <f>SUMIF('Profit and Loss Assumption'!$B:$B,PnL!$B13,'Profit and Loss Assumption'!H:H)</f>
        <v>-12155062.5</v>
      </c>
    </row>
    <row r="14" spans="2:11" x14ac:dyDescent="0.25">
      <c r="B14" s="12" t="str">
        <f>'Source PnL'!B14</f>
        <v>C-Stream - 3</v>
      </c>
      <c r="D14" s="18">
        <f>SUMIF('Profit and Loss Assumption'!$B:$B,PnL!$B14,'Profit and Loss Assumption'!D:D)</f>
        <v>-20000000</v>
      </c>
      <c r="E14" s="18">
        <f>SUMIF('Profit and Loss Assumption'!$B:$B,PnL!$B14,'Profit and Loss Assumption'!E:E)</f>
        <v>-21000000</v>
      </c>
      <c r="F14" s="18">
        <f>SUMIF('Profit and Loss Assumption'!$B:$B,PnL!$B14,'Profit and Loss Assumption'!F:F)</f>
        <v>-22050000</v>
      </c>
      <c r="G14" s="18">
        <f>SUMIF('Profit and Loss Assumption'!$B:$B,PnL!$B14,'Profit and Loss Assumption'!G:G)</f>
        <v>-23152500</v>
      </c>
      <c r="H14" s="18">
        <f>SUMIF('Profit and Loss Assumption'!$B:$B,PnL!$B14,'Profit and Loss Assumption'!H:H)</f>
        <v>-24310125</v>
      </c>
    </row>
    <row r="15" spans="2:11" x14ac:dyDescent="0.25">
      <c r="B15" s="10" t="str">
        <f>'Source PnL'!B15</f>
        <v>Total Cost of Revenue</v>
      </c>
      <c r="D15" s="19">
        <f t="shared" ref="D15:H15" si="1">SUM(D12:D14)</f>
        <v>-45000000</v>
      </c>
      <c r="E15" s="19">
        <f t="shared" si="1"/>
        <v>-47250000</v>
      </c>
      <c r="F15" s="19">
        <f t="shared" si="1"/>
        <v>-49612500</v>
      </c>
      <c r="G15" s="19">
        <f t="shared" si="1"/>
        <v>-52093125</v>
      </c>
      <c r="H15" s="19">
        <f t="shared" si="1"/>
        <v>-54697781.25</v>
      </c>
    </row>
    <row r="16" spans="2:11" ht="3" customHeight="1" x14ac:dyDescent="0.25"/>
    <row r="17" spans="2:8" x14ac:dyDescent="0.25">
      <c r="B17" s="7" t="str">
        <f>'Source PnL'!B17</f>
        <v>Gross Revenue</v>
      </c>
      <c r="D17" s="18">
        <f t="shared" ref="D17:H17" si="2">D9+D15</f>
        <v>125000000</v>
      </c>
      <c r="E17" s="18">
        <f t="shared" si="2"/>
        <v>131250000</v>
      </c>
      <c r="F17" s="18">
        <f t="shared" si="2"/>
        <v>137812500</v>
      </c>
      <c r="G17" s="18">
        <f t="shared" si="2"/>
        <v>144703125</v>
      </c>
      <c r="H17" s="18">
        <f t="shared" si="2"/>
        <v>151938281.25</v>
      </c>
    </row>
    <row r="18" spans="2:8" ht="3" customHeight="1" x14ac:dyDescent="0.25"/>
    <row r="19" spans="2:8" x14ac:dyDescent="0.25">
      <c r="B19" s="7" t="str">
        <f>'Source PnL'!B19</f>
        <v>Less: Fixed Cost</v>
      </c>
    </row>
    <row r="20" spans="2:8" x14ac:dyDescent="0.25">
      <c r="B20" s="12" t="str">
        <f>'Source PnL'!B20</f>
        <v>Platform</v>
      </c>
      <c r="D20" s="18">
        <f>SUMIF('Profit and Loss Assumption'!$B:$B,PnL!$B20,'Profit and Loss Assumption'!D:D)</f>
        <v>-22100000</v>
      </c>
      <c r="E20" s="18">
        <f>SUMIF('Profit and Loss Assumption'!$B:$B,PnL!$B20,'Profit and Loss Assumption'!E:E)</f>
        <v>-23205000</v>
      </c>
      <c r="F20" s="18">
        <f>SUMIF('Profit and Loss Assumption'!$B:$B,PnL!$B20,'Profit and Loss Assumption'!F:F)</f>
        <v>-24365250</v>
      </c>
      <c r="G20" s="18">
        <f>SUMIF('Profit and Loss Assumption'!$B:$B,PnL!$B20,'Profit and Loss Assumption'!G:G)</f>
        <v>-25583512.5</v>
      </c>
      <c r="H20" s="18">
        <f>SUMIF('Profit and Loss Assumption'!$B:$B,PnL!$B20,'Profit and Loss Assumption'!H:H)</f>
        <v>-26862688.125</v>
      </c>
    </row>
    <row r="21" spans="2:8" ht="15.75" customHeight="1" x14ac:dyDescent="0.25">
      <c r="B21" s="12" t="str">
        <f>'Source PnL'!B21</f>
        <v>Rental Cost</v>
      </c>
      <c r="D21" s="18">
        <f>SUMIF('Profit and Loss Assumption'!$B:$B,PnL!$B21,'Profit and Loss Assumption'!D:D)</f>
        <v>-800000.00000000012</v>
      </c>
      <c r="E21" s="18">
        <f>SUMIF('Profit and Loss Assumption'!$B:$B,PnL!$B21,'Profit and Loss Assumption'!E:E)</f>
        <v>-840000.00000000012</v>
      </c>
      <c r="F21" s="18">
        <f>SUMIF('Profit and Loss Assumption'!$B:$B,PnL!$B21,'Profit and Loss Assumption'!F:F)</f>
        <v>-882000.00000000012</v>
      </c>
      <c r="G21" s="18">
        <f>SUMIF('Profit and Loss Assumption'!$B:$B,PnL!$B21,'Profit and Loss Assumption'!G:G)</f>
        <v>-926100.00000000012</v>
      </c>
      <c r="H21" s="18">
        <f>SUMIF('Profit and Loss Assumption'!$B:$B,PnL!$B21,'Profit and Loss Assumption'!H:H)</f>
        <v>-972405.00000000012</v>
      </c>
    </row>
    <row r="22" spans="2:8" ht="15.75" customHeight="1" x14ac:dyDescent="0.25">
      <c r="B22" s="12" t="str">
        <f>'Source PnL'!B22</f>
        <v>Employees Cost</v>
      </c>
      <c r="D22" s="18">
        <f>SUMIF('Profit and Loss Assumption'!$B:$B,PnL!$B22,'Profit and Loss Assumption'!D:D)</f>
        <v>-2400000</v>
      </c>
      <c r="E22" s="18">
        <f>SUMIF('Profit and Loss Assumption'!$B:$B,PnL!$B22,'Profit and Loss Assumption'!E:E)</f>
        <v>-2520000</v>
      </c>
      <c r="F22" s="18">
        <f>SUMIF('Profit and Loss Assumption'!$B:$B,PnL!$B22,'Profit and Loss Assumption'!F:F)</f>
        <v>-2646000</v>
      </c>
      <c r="G22" s="18">
        <f>SUMIF('Profit and Loss Assumption'!$B:$B,PnL!$B22,'Profit and Loss Assumption'!G:G)</f>
        <v>-2778300</v>
      </c>
      <c r="H22" s="18">
        <f>SUMIF('Profit and Loss Assumption'!$B:$B,PnL!$B22,'Profit and Loss Assumption'!H:H)</f>
        <v>-2917215</v>
      </c>
    </row>
    <row r="23" spans="2:8" ht="15.75" customHeight="1" x14ac:dyDescent="0.25">
      <c r="B23" s="12" t="str">
        <f>'Source PnL'!B23</f>
        <v>Legal Cost</v>
      </c>
      <c r="D23" s="18">
        <f>SUMIF('Profit and Loss Assumption'!$B:$B,PnL!$B23,'Profit and Loss Assumption'!D:D)</f>
        <v>-80000</v>
      </c>
      <c r="E23" s="18">
        <f>SUMIF('Profit and Loss Assumption'!$B:$B,PnL!$B23,'Profit and Loss Assumption'!E:E)</f>
        <v>-83999.999999999985</v>
      </c>
      <c r="F23" s="18">
        <f>SUMIF('Profit and Loss Assumption'!$B:$B,PnL!$B23,'Profit and Loss Assumption'!F:F)</f>
        <v>-88199.999999999985</v>
      </c>
      <c r="G23" s="18">
        <f>SUMIF('Profit and Loss Assumption'!$B:$B,PnL!$B23,'Profit and Loss Assumption'!G:G)</f>
        <v>-92609.999999999985</v>
      </c>
      <c r="H23" s="18">
        <f>SUMIF('Profit and Loss Assumption'!$B:$B,PnL!$B23,'Profit and Loss Assumption'!H:H)</f>
        <v>-97240.499999999985</v>
      </c>
    </row>
    <row r="24" spans="2:8" ht="15.75" customHeight="1" x14ac:dyDescent="0.25">
      <c r="B24" s="12" t="str">
        <f>'Source PnL'!B24</f>
        <v>Office Expenses</v>
      </c>
      <c r="D24" s="18">
        <f>SUMIF('Profit and Loss Assumption'!$B:$B,PnL!$B24,'Profit and Loss Assumption'!D:D)</f>
        <v>-800000.00000000012</v>
      </c>
      <c r="E24" s="18">
        <f>SUMIF('Profit and Loss Assumption'!$B:$B,PnL!$B24,'Profit and Loss Assumption'!E:E)</f>
        <v>-840000.00000000012</v>
      </c>
      <c r="F24" s="18">
        <f>SUMIF('Profit and Loss Assumption'!$B:$B,PnL!$B24,'Profit and Loss Assumption'!F:F)</f>
        <v>-882000.00000000012</v>
      </c>
      <c r="G24" s="18">
        <f>SUMIF('Profit and Loss Assumption'!$B:$B,PnL!$B24,'Profit and Loss Assumption'!G:G)</f>
        <v>-926100.00000000012</v>
      </c>
      <c r="H24" s="18">
        <f>SUMIF('Profit and Loss Assumption'!$B:$B,PnL!$B24,'Profit and Loss Assumption'!H:H)</f>
        <v>-972405.00000000012</v>
      </c>
    </row>
    <row r="25" spans="2:8" ht="15.75" customHeight="1" x14ac:dyDescent="0.25">
      <c r="B25" s="12" t="str">
        <f>'Source PnL'!B25</f>
        <v>Misc Expenses</v>
      </c>
      <c r="D25" s="18">
        <f>SUMIF('Profit and Loss Assumption'!$B:$B,PnL!$B25,'Profit and Loss Assumption'!D:D)</f>
        <v>-400000.00000000006</v>
      </c>
      <c r="E25" s="18">
        <f>SUMIF('Profit and Loss Assumption'!$B:$B,PnL!$B25,'Profit and Loss Assumption'!E:E)</f>
        <v>-420000.00000000006</v>
      </c>
      <c r="F25" s="18">
        <f>SUMIF('Profit and Loss Assumption'!$B:$B,PnL!$B25,'Profit and Loss Assumption'!F:F)</f>
        <v>-441000.00000000006</v>
      </c>
      <c r="G25" s="18">
        <f>SUMIF('Profit and Loss Assumption'!$B:$B,PnL!$B25,'Profit and Loss Assumption'!G:G)</f>
        <v>-463050.00000000006</v>
      </c>
      <c r="H25" s="18">
        <f>SUMIF('Profit and Loss Assumption'!$B:$B,PnL!$B25,'Profit and Loss Assumption'!H:H)</f>
        <v>-486202.50000000006</v>
      </c>
    </row>
    <row r="26" spans="2:8" ht="15.75" customHeight="1" x14ac:dyDescent="0.25">
      <c r="B26" s="10" t="str">
        <f>'Source PnL'!B26</f>
        <v>Total Fixed Cost</v>
      </c>
      <c r="D26" s="19">
        <f t="shared" ref="D26:H26" si="3">SUM(D20:D25)</f>
        <v>-26580000</v>
      </c>
      <c r="E26" s="19">
        <f t="shared" si="3"/>
        <v>-27909000</v>
      </c>
      <c r="F26" s="19">
        <f t="shared" si="3"/>
        <v>-29304450</v>
      </c>
      <c r="G26" s="19">
        <f t="shared" si="3"/>
        <v>-30769672.5</v>
      </c>
      <c r="H26" s="19">
        <f t="shared" si="3"/>
        <v>-32308156.125</v>
      </c>
    </row>
    <row r="27" spans="2:8" ht="3" customHeight="1" x14ac:dyDescent="0.25"/>
    <row r="28" spans="2:8" ht="15.75" customHeight="1" x14ac:dyDescent="0.25">
      <c r="B28" s="7" t="str">
        <f>'Source PnL'!B28</f>
        <v>PBIT</v>
      </c>
      <c r="D28" s="8">
        <f t="shared" ref="D28:H28" si="4">D17+D26</f>
        <v>98420000</v>
      </c>
      <c r="E28" s="8">
        <f t="shared" si="4"/>
        <v>103341000</v>
      </c>
      <c r="F28" s="8">
        <f t="shared" si="4"/>
        <v>108508050</v>
      </c>
      <c r="G28" s="8">
        <f t="shared" si="4"/>
        <v>113933452.5</v>
      </c>
      <c r="H28" s="8">
        <f t="shared" si="4"/>
        <v>119630125.125</v>
      </c>
    </row>
    <row r="29" spans="2:8" ht="3" customHeight="1" x14ac:dyDescent="0.25"/>
    <row r="30" spans="2:8" ht="15.75" customHeight="1" x14ac:dyDescent="0.25">
      <c r="B30" s="10" t="str">
        <f>'Source PnL'!B30</f>
        <v>Interest Cost</v>
      </c>
      <c r="D30" s="19">
        <f>SUMIF('Profit and Loss Assumption'!$B:$B,PnL!$B30,'Profit and Loss Assumption'!D:D)</f>
        <v>-400000</v>
      </c>
      <c r="E30" s="19">
        <f>SUMIF('Profit and Loss Assumption'!$B:$B,PnL!$B30,'Profit and Loss Assumption'!E:E)</f>
        <v>-365022.39297007467</v>
      </c>
      <c r="F30" s="19">
        <f>SUMIF('Profit and Loss Assumption'!$B:$B,PnL!$B30,'Profit and Loss Assumption'!F:F)</f>
        <v>-326547.02523715678</v>
      </c>
      <c r="G30" s="19">
        <f>SUMIF('Profit and Loss Assumption'!$B:$B,PnL!$B30,'Profit and Loss Assumption'!G:G)</f>
        <v>-284224.12073094706</v>
      </c>
      <c r="H30" s="19">
        <f>SUMIF('Profit and Loss Assumption'!$B:$B,PnL!$B30,'Profit and Loss Assumption'!H:H)</f>
        <v>-237668.92577411642</v>
      </c>
    </row>
    <row r="31" spans="2:8" ht="3" customHeight="1" x14ac:dyDescent="0.25"/>
    <row r="32" spans="2:8" ht="15.75" customHeight="1" x14ac:dyDescent="0.25">
      <c r="B32" s="7" t="str">
        <f>'Source PnL'!B32</f>
        <v>PBT</v>
      </c>
      <c r="D32" s="8">
        <f t="shared" ref="D32:H32" si="5">D28+D30</f>
        <v>98020000</v>
      </c>
      <c r="E32" s="8">
        <f t="shared" si="5"/>
        <v>102975977.60702993</v>
      </c>
      <c r="F32" s="8">
        <f t="shared" si="5"/>
        <v>108181502.97476284</v>
      </c>
      <c r="G32" s="8">
        <f t="shared" si="5"/>
        <v>113649228.37926905</v>
      </c>
      <c r="H32" s="8">
        <f t="shared" si="5"/>
        <v>119392456.19922589</v>
      </c>
    </row>
    <row r="33" spans="2:8" ht="3" customHeight="1" x14ac:dyDescent="0.25"/>
    <row r="34" spans="2:8" ht="15.75" customHeight="1" x14ac:dyDescent="0.25">
      <c r="B34" s="10" t="str">
        <f>'Source PnL'!B34</f>
        <v>Tax</v>
      </c>
      <c r="D34" s="19">
        <f t="shared" ref="D34:H34" si="6">D32*D35</f>
        <v>-28425799.999999996</v>
      </c>
      <c r="E34" s="19">
        <f t="shared" si="6"/>
        <v>-29863033.506038677</v>
      </c>
      <c r="F34" s="19">
        <f t="shared" si="6"/>
        <v>-31372635.862681221</v>
      </c>
      <c r="G34" s="19">
        <f t="shared" si="6"/>
        <v>-32958276.229988024</v>
      </c>
      <c r="H34" s="19">
        <f t="shared" si="6"/>
        <v>-34623812.297775507</v>
      </c>
    </row>
    <row r="35" spans="2:8" ht="15.75" customHeight="1" x14ac:dyDescent="0.25">
      <c r="B35" s="12" t="s">
        <v>49</v>
      </c>
      <c r="D35" s="12">
        <v>-0.28999999999999998</v>
      </c>
      <c r="E35" s="12">
        <v>-0.28999999999999998</v>
      </c>
      <c r="F35" s="12">
        <v>-0.28999999999999998</v>
      </c>
      <c r="G35" s="12">
        <v>-0.28999999999999998</v>
      </c>
      <c r="H35" s="12">
        <v>-0.28999999999999998</v>
      </c>
    </row>
    <row r="36" spans="2:8" ht="3" customHeight="1" x14ac:dyDescent="0.25"/>
    <row r="37" spans="2:8" ht="15.75" customHeight="1" x14ac:dyDescent="0.25">
      <c r="B37" s="7" t="str">
        <f>'Source PnL'!B36</f>
        <v>PAT</v>
      </c>
      <c r="D37" s="8">
        <f t="shared" ref="D37:H37" si="7">D32+D34</f>
        <v>69594200</v>
      </c>
      <c r="E37" s="8">
        <f t="shared" si="7"/>
        <v>73112944.100991249</v>
      </c>
      <c r="F37" s="8">
        <f t="shared" si="7"/>
        <v>76808867.112081617</v>
      </c>
      <c r="G37" s="8">
        <f t="shared" si="7"/>
        <v>80690952.149281025</v>
      </c>
      <c r="H37" s="8">
        <f t="shared" si="7"/>
        <v>84768643.901450381</v>
      </c>
    </row>
    <row r="38" spans="2:8" ht="15.75" customHeight="1" x14ac:dyDescent="0.25"/>
    <row r="39" spans="2:8" ht="15.75" customHeight="1" x14ac:dyDescent="0.25">
      <c r="D39" s="17"/>
    </row>
    <row r="40" spans="2:8" ht="15.75" customHeight="1" x14ac:dyDescent="0.25">
      <c r="D40" s="17"/>
    </row>
    <row r="41" spans="2:8" ht="15.75" customHeight="1" x14ac:dyDescent="0.25"/>
    <row r="42" spans="2:8" ht="15.75" customHeight="1" x14ac:dyDescent="0.25"/>
    <row r="43" spans="2:8" ht="15.75" customHeight="1" x14ac:dyDescent="0.25"/>
    <row r="44" spans="2:8" ht="15.75" customHeight="1" x14ac:dyDescent="0.25"/>
    <row r="45" spans="2:8" ht="15.75" customHeight="1" x14ac:dyDescent="0.25"/>
    <row r="46" spans="2:8" ht="15.75" customHeight="1" x14ac:dyDescent="0.25"/>
    <row r="47" spans="2:8" ht="15.75" customHeight="1" x14ac:dyDescent="0.25"/>
    <row r="48" spans="2: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J1000"/>
  <sheetViews>
    <sheetView showGridLines="0" workbookViewId="0"/>
  </sheetViews>
  <sheetFormatPr defaultColWidth="14.42578125" defaultRowHeight="15" customHeight="1" x14ac:dyDescent="0.25"/>
  <cols>
    <col min="1" max="1" width="1.42578125" customWidth="1"/>
    <col min="2" max="2" width="17.5703125" customWidth="1"/>
    <col min="3" max="3" width="0.85546875" customWidth="1"/>
    <col min="4" max="8" width="15.28515625" customWidth="1"/>
    <col min="9" max="9" width="13.28515625" customWidth="1"/>
    <col min="10" max="10" width="9.5703125" customWidth="1"/>
    <col min="11" max="26" width="8.7109375" customWidth="1"/>
  </cols>
  <sheetData>
    <row r="2" spans="2:10" ht="23.25" x14ac:dyDescent="0.35">
      <c r="B2" s="1" t="s">
        <v>50</v>
      </c>
      <c r="C2" s="1"/>
    </row>
    <row r="4" spans="2:10" x14ac:dyDescent="0.25">
      <c r="D4" s="7" t="s">
        <v>23</v>
      </c>
      <c r="E4" s="7" t="s">
        <v>24</v>
      </c>
      <c r="F4" s="7" t="s">
        <v>25</v>
      </c>
      <c r="G4" s="7" t="s">
        <v>26</v>
      </c>
      <c r="H4" s="7" t="s">
        <v>27</v>
      </c>
    </row>
    <row r="5" spans="2:10" x14ac:dyDescent="0.25">
      <c r="B5" s="2" t="s">
        <v>51</v>
      </c>
      <c r="D5" s="17">
        <f>PnL!D37</f>
        <v>69594200</v>
      </c>
      <c r="E5" s="17">
        <f>PnL!E37</f>
        <v>73112944.100991249</v>
      </c>
      <c r="F5" s="17">
        <f>PnL!F37</f>
        <v>76808867.112081617</v>
      </c>
      <c r="G5" s="17">
        <f>PnL!G37</f>
        <v>80690952.149281025</v>
      </c>
      <c r="H5" s="17">
        <f>PnL!H37</f>
        <v>84768643.901450381</v>
      </c>
      <c r="J5" s="3"/>
    </row>
    <row r="6" spans="2:10" x14ac:dyDescent="0.25">
      <c r="B6" s="2" t="s">
        <v>52</v>
      </c>
      <c r="D6" s="17">
        <f>-PnL!D34</f>
        <v>28425799.999999996</v>
      </c>
      <c r="E6" s="17">
        <f>-PnL!E34</f>
        <v>29863033.506038677</v>
      </c>
      <c r="F6" s="17">
        <f>-PnL!F34</f>
        <v>31372635.862681221</v>
      </c>
      <c r="G6" s="17">
        <f>-PnL!G34</f>
        <v>32958276.229988024</v>
      </c>
      <c r="H6" s="17">
        <f>-PnL!H34</f>
        <v>34623812.297775507</v>
      </c>
    </row>
    <row r="7" spans="2:10" x14ac:dyDescent="0.25">
      <c r="B7" s="2" t="s">
        <v>53</v>
      </c>
      <c r="D7" s="17">
        <f t="shared" ref="D7:H7" si="0">SUM(D5:D6)</f>
        <v>98020000</v>
      </c>
      <c r="E7" s="17">
        <f t="shared" si="0"/>
        <v>102975977.60702993</v>
      </c>
      <c r="F7" s="17">
        <f t="shared" si="0"/>
        <v>108181502.97476284</v>
      </c>
      <c r="G7" s="17">
        <f t="shared" si="0"/>
        <v>113649228.37926905</v>
      </c>
      <c r="H7" s="17">
        <f t="shared" si="0"/>
        <v>119392456.19922589</v>
      </c>
    </row>
    <row r="8" spans="2:10" x14ac:dyDescent="0.25">
      <c r="C8" s="3"/>
    </row>
    <row r="9" spans="2:10" ht="30.75" customHeight="1" x14ac:dyDescent="0.25">
      <c r="B9" s="20" t="s">
        <v>54</v>
      </c>
      <c r="D9" s="17">
        <v>0</v>
      </c>
      <c r="E9" s="17">
        <v>0</v>
      </c>
      <c r="F9" s="17">
        <v>0</v>
      </c>
      <c r="G9" s="17">
        <v>0</v>
      </c>
      <c r="H9" s="17">
        <v>0</v>
      </c>
    </row>
    <row r="10" spans="2:10" x14ac:dyDescent="0.25">
      <c r="I10" s="17"/>
      <c r="J10" s="3"/>
    </row>
    <row r="11" spans="2:10" x14ac:dyDescent="0.25">
      <c r="B11" s="2" t="s">
        <v>55</v>
      </c>
      <c r="C11" s="3"/>
      <c r="D11" s="14">
        <f t="shared" ref="D11:H11" si="1">SUM(D7:D10)</f>
        <v>98020000</v>
      </c>
      <c r="E11" s="14">
        <f t="shared" si="1"/>
        <v>102975977.60702993</v>
      </c>
      <c r="F11" s="14">
        <f t="shared" si="1"/>
        <v>108181502.97476284</v>
      </c>
      <c r="G11" s="14">
        <f t="shared" si="1"/>
        <v>113649228.37926905</v>
      </c>
      <c r="H11" s="14">
        <f t="shared" si="1"/>
        <v>119392456.19922589</v>
      </c>
    </row>
    <row r="13" spans="2:10" x14ac:dyDescent="0.25">
      <c r="B13" s="5" t="str">
        <f>BS!B11</f>
        <v>Inventory</v>
      </c>
      <c r="D13" s="17">
        <f>'Source BS'!E10-BS!D11</f>
        <v>0</v>
      </c>
      <c r="E13" s="17">
        <f>BS!D11-BS!E11</f>
        <v>-45000</v>
      </c>
      <c r="F13" s="17">
        <f>BS!E11-BS!F11</f>
        <v>-47250</v>
      </c>
      <c r="G13" s="17">
        <f>BS!F11-BS!G11</f>
        <v>-49612.5</v>
      </c>
      <c r="H13" s="17">
        <f>BS!G11-BS!H11</f>
        <v>-52093.125</v>
      </c>
    </row>
    <row r="14" spans="2:10" x14ac:dyDescent="0.25">
      <c r="B14" s="5" t="str">
        <f>BS!B13</f>
        <v>Trade Receivables</v>
      </c>
      <c r="D14" s="17">
        <f>'Source BS'!E12-BS!D13</f>
        <v>0</v>
      </c>
      <c r="E14" s="17">
        <f>BS!D13-BS!E13</f>
        <v>-127500</v>
      </c>
      <c r="F14" s="17">
        <f>BS!E13-BS!F13</f>
        <v>-133875</v>
      </c>
      <c r="G14" s="17">
        <f>BS!F13-BS!G13</f>
        <v>-140568.75000000047</v>
      </c>
      <c r="H14" s="17">
        <f>BS!G13-BS!H13</f>
        <v>-147597.1875</v>
      </c>
    </row>
    <row r="15" spans="2:10" x14ac:dyDescent="0.25">
      <c r="B15" s="5" t="str">
        <f>BS!B23</f>
        <v>Trade Payable</v>
      </c>
      <c r="C15" s="21"/>
      <c r="D15" s="17">
        <f>BS!D23-'Source BS'!K9</f>
        <v>0</v>
      </c>
      <c r="E15" s="17">
        <f>BS!E23-BS!D23</f>
        <v>90000</v>
      </c>
      <c r="F15" s="17">
        <f>BS!F23-BS!E23</f>
        <v>94500</v>
      </c>
      <c r="G15" s="17">
        <f>BS!G23-BS!F23</f>
        <v>99225</v>
      </c>
      <c r="H15" s="17">
        <f>BS!H23-BS!G23</f>
        <v>104186.25</v>
      </c>
    </row>
    <row r="16" spans="2:10" x14ac:dyDescent="0.25">
      <c r="B16" s="5" t="s">
        <v>56</v>
      </c>
      <c r="C16" s="21"/>
      <c r="D16" s="17">
        <f t="shared" ref="D16:H16" si="2">-D6*90%</f>
        <v>-25583219.999999996</v>
      </c>
      <c r="E16" s="17">
        <f t="shared" si="2"/>
        <v>-26876730.15543481</v>
      </c>
      <c r="F16" s="17">
        <f t="shared" si="2"/>
        <v>-28235372.276413098</v>
      </c>
      <c r="G16" s="17">
        <f t="shared" si="2"/>
        <v>-29662448.606989224</v>
      </c>
      <c r="H16" s="17">
        <f t="shared" si="2"/>
        <v>-31161431.067997959</v>
      </c>
    </row>
    <row r="18" spans="2:8" x14ac:dyDescent="0.25">
      <c r="B18" s="2" t="s">
        <v>57</v>
      </c>
      <c r="D18" s="17">
        <f t="shared" ref="D18:H18" si="3">SUM(D11:D16)</f>
        <v>72436780</v>
      </c>
      <c r="E18" s="17">
        <f t="shared" si="3"/>
        <v>76016747.451595128</v>
      </c>
      <c r="F18" s="17">
        <f t="shared" si="3"/>
        <v>79859505.698349744</v>
      </c>
      <c r="G18" s="17">
        <f t="shared" si="3"/>
        <v>83895823.522279829</v>
      </c>
      <c r="H18" s="17">
        <f t="shared" si="3"/>
        <v>88135521.068727925</v>
      </c>
    </row>
    <row r="20" spans="2:8" x14ac:dyDescent="0.25">
      <c r="B20" s="2" t="s">
        <v>58</v>
      </c>
      <c r="D20" s="17">
        <f>'Source BS'!E6-BS!D7</f>
        <v>0</v>
      </c>
      <c r="E20" s="17">
        <f>BS!D7-BS!E7</f>
        <v>-425000</v>
      </c>
      <c r="F20" s="17">
        <f>BS!E7-BS!F7</f>
        <v>-446250</v>
      </c>
      <c r="G20" s="17">
        <f>BS!F7-BS!G7</f>
        <v>-468562.5</v>
      </c>
      <c r="H20" s="17">
        <f>BS!G7-BS!H7</f>
        <v>-491990.625</v>
      </c>
    </row>
    <row r="21" spans="2:8" ht="15.75" customHeight="1" x14ac:dyDescent="0.25">
      <c r="B21" s="2" t="s">
        <v>59</v>
      </c>
      <c r="C21" s="3"/>
      <c r="D21" s="17">
        <f>'Source BS'!E7-BS!D8</f>
        <v>0</v>
      </c>
      <c r="E21" s="17">
        <f>BS!D8-BS!E8</f>
        <v>-255000</v>
      </c>
      <c r="F21" s="17">
        <f>BS!E8-BS!F8</f>
        <v>-267750</v>
      </c>
      <c r="G21" s="17">
        <f>BS!F8-BS!G8</f>
        <v>-281137.5</v>
      </c>
      <c r="H21" s="17">
        <f>BS!G8-BS!H8</f>
        <v>-295194.375</v>
      </c>
    </row>
    <row r="22" spans="2:8" ht="15.75" customHeight="1" x14ac:dyDescent="0.25"/>
    <row r="23" spans="2:8" ht="15.75" customHeight="1" x14ac:dyDescent="0.25">
      <c r="B23" s="2" t="s">
        <v>60</v>
      </c>
      <c r="C23" s="3"/>
      <c r="D23" s="17">
        <f t="shared" ref="D23:H23" si="4">SUM(D20:D22)</f>
        <v>0</v>
      </c>
      <c r="E23" s="17">
        <f t="shared" si="4"/>
        <v>-680000</v>
      </c>
      <c r="F23" s="17">
        <f t="shared" si="4"/>
        <v>-714000</v>
      </c>
      <c r="G23" s="17">
        <f t="shared" si="4"/>
        <v>-749700</v>
      </c>
      <c r="H23" s="17">
        <f t="shared" si="4"/>
        <v>-787185</v>
      </c>
    </row>
    <row r="24" spans="2:8" ht="15.75" customHeight="1" x14ac:dyDescent="0.25"/>
    <row r="25" spans="2:8" ht="15.75" customHeight="1" x14ac:dyDescent="0.25">
      <c r="B25" s="2" t="s">
        <v>44</v>
      </c>
      <c r="D25" s="17">
        <f>BS!D25-'Source BS'!K10</f>
        <v>0</v>
      </c>
      <c r="E25" s="17">
        <f>BS!E25-BS!D25</f>
        <v>22500</v>
      </c>
      <c r="F25" s="17">
        <f>BS!F25-BS!E25</f>
        <v>23625</v>
      </c>
      <c r="G25" s="17">
        <f>BS!G25-BS!F25</f>
        <v>24806.25</v>
      </c>
      <c r="H25" s="17">
        <f>BS!H25-BS!G25</f>
        <v>26046.5625</v>
      </c>
    </row>
    <row r="26" spans="2:8" ht="15.75" customHeight="1" x14ac:dyDescent="0.25">
      <c r="B26" s="2" t="s">
        <v>61</v>
      </c>
      <c r="D26" s="17">
        <v>0</v>
      </c>
      <c r="E26" s="17">
        <v>0</v>
      </c>
      <c r="F26" s="17">
        <v>0</v>
      </c>
      <c r="G26" s="17">
        <v>0</v>
      </c>
      <c r="H26" s="17">
        <v>0</v>
      </c>
    </row>
    <row r="27" spans="2:8" ht="15.75" customHeight="1" x14ac:dyDescent="0.25">
      <c r="B27" s="2" t="s">
        <v>62</v>
      </c>
      <c r="D27" s="17">
        <f>BS!D28-'Source BS'!K14</f>
        <v>0</v>
      </c>
      <c r="E27" s="17">
        <f>BS!E28-BS!D28</f>
        <v>0</v>
      </c>
      <c r="F27" s="17">
        <f>BS!F28-BS!E28</f>
        <v>0</v>
      </c>
      <c r="G27" s="17">
        <f>BS!G28-BS!F28</f>
        <v>0</v>
      </c>
      <c r="H27" s="17">
        <f>BS!H28-BS!G28</f>
        <v>0</v>
      </c>
    </row>
    <row r="28" spans="2:8" ht="15.75" customHeight="1" x14ac:dyDescent="0.25">
      <c r="B28" s="2" t="s">
        <v>63</v>
      </c>
      <c r="D28" s="17">
        <f>BS!D31</f>
        <v>0</v>
      </c>
      <c r="E28" s="17">
        <f>BS!E31</f>
        <v>0</v>
      </c>
      <c r="F28" s="17">
        <f>BS!F31</f>
        <v>0</v>
      </c>
      <c r="G28" s="17">
        <f>BS!G31</f>
        <v>0</v>
      </c>
      <c r="H28" s="17">
        <f>BS!H31</f>
        <v>0</v>
      </c>
    </row>
    <row r="29" spans="2:8" ht="15.75" customHeight="1" x14ac:dyDescent="0.25">
      <c r="B29" s="2" t="s">
        <v>64</v>
      </c>
      <c r="D29" s="17">
        <f>-PnL!D30</f>
        <v>400000</v>
      </c>
      <c r="E29" s="17">
        <f>-PnL!E30</f>
        <v>365022.39297007467</v>
      </c>
      <c r="F29" s="17">
        <f>-PnL!F30</f>
        <v>326547.02523715678</v>
      </c>
      <c r="G29" s="17">
        <f>-PnL!G30</f>
        <v>284224.12073094706</v>
      </c>
      <c r="H29" s="17">
        <f>-PnL!H30</f>
        <v>237668.92577411642</v>
      </c>
    </row>
    <row r="30" spans="2:8" ht="15.75" customHeight="1" x14ac:dyDescent="0.25">
      <c r="B30" s="2" t="s">
        <v>65</v>
      </c>
      <c r="D30" s="17">
        <f>'Debt Schedule'!E13</f>
        <v>-749776.07029925392</v>
      </c>
      <c r="E30" s="17">
        <f>'Debt Schedule'!E14</f>
        <v>-749776.07029925392</v>
      </c>
      <c r="F30" s="17">
        <f>'Debt Schedule'!E15</f>
        <v>-749776.07029925392</v>
      </c>
      <c r="G30" s="17">
        <f>'Debt Schedule'!E16</f>
        <v>-749776.07029925392</v>
      </c>
      <c r="H30" s="17">
        <f>'Debt Schedule'!E17</f>
        <v>-749776.07029925392</v>
      </c>
    </row>
    <row r="31" spans="2:8" ht="15.75" customHeight="1" x14ac:dyDescent="0.25">
      <c r="D31" s="17"/>
      <c r="E31" s="17"/>
      <c r="F31" s="17"/>
      <c r="G31" s="17"/>
      <c r="H31" s="17"/>
    </row>
    <row r="32" spans="2:8" ht="15.75" customHeight="1" x14ac:dyDescent="0.25">
      <c r="B32" s="2" t="s">
        <v>66</v>
      </c>
      <c r="D32" s="17">
        <f t="shared" ref="D32:H32" si="5">SUM(D25:D30)</f>
        <v>-349776.07029925392</v>
      </c>
      <c r="E32" s="17">
        <f t="shared" si="5"/>
        <v>-362253.67732917925</v>
      </c>
      <c r="F32" s="17">
        <f t="shared" si="5"/>
        <v>-399604.04506209714</v>
      </c>
      <c r="G32" s="17">
        <f t="shared" si="5"/>
        <v>-440745.69956830685</v>
      </c>
      <c r="H32" s="17">
        <f t="shared" si="5"/>
        <v>-486060.5820251375</v>
      </c>
    </row>
    <row r="33" spans="2:8" ht="15.75" customHeight="1" x14ac:dyDescent="0.25"/>
    <row r="34" spans="2:8" ht="15.75" customHeight="1" x14ac:dyDescent="0.25">
      <c r="B34" s="2" t="s">
        <v>67</v>
      </c>
      <c r="D34" s="17">
        <f t="shared" ref="D34:H34" si="6">D18+D23+D32</f>
        <v>72087003.929700747</v>
      </c>
      <c r="E34" s="17">
        <f t="shared" si="6"/>
        <v>74974493.774265945</v>
      </c>
      <c r="F34" s="17">
        <f t="shared" si="6"/>
        <v>78745901.653287649</v>
      </c>
      <c r="G34" s="17">
        <f t="shared" si="6"/>
        <v>82705377.822711527</v>
      </c>
      <c r="H34" s="17">
        <f t="shared" si="6"/>
        <v>86862275.486702785</v>
      </c>
    </row>
    <row r="35" spans="2:8" ht="15.75" customHeight="1" x14ac:dyDescent="0.25">
      <c r="C35" s="21"/>
    </row>
    <row r="36" spans="2:8" ht="15.75" customHeight="1" x14ac:dyDescent="0.25">
      <c r="B36" s="2" t="s">
        <v>68</v>
      </c>
      <c r="D36" s="17">
        <f>'Source BS'!E11</f>
        <v>800000</v>
      </c>
      <c r="E36" s="17">
        <f t="shared" ref="E36:H36" si="7">D37</f>
        <v>72887003.929700747</v>
      </c>
      <c r="F36" s="17">
        <f t="shared" si="7"/>
        <v>147861497.70396668</v>
      </c>
      <c r="G36" s="17">
        <f t="shared" si="7"/>
        <v>226607399.35725433</v>
      </c>
      <c r="H36" s="17">
        <f t="shared" si="7"/>
        <v>309312777.17996585</v>
      </c>
    </row>
    <row r="37" spans="2:8" ht="15.75" customHeight="1" x14ac:dyDescent="0.25">
      <c r="B37" s="2" t="s">
        <v>69</v>
      </c>
      <c r="D37" s="17">
        <f t="shared" ref="D37:H37" si="8">D34+D36</f>
        <v>72887003.929700747</v>
      </c>
      <c r="E37" s="17">
        <f t="shared" si="8"/>
        <v>147861497.70396668</v>
      </c>
      <c r="F37" s="17">
        <f t="shared" si="8"/>
        <v>226607399.35725433</v>
      </c>
      <c r="G37" s="17">
        <f t="shared" si="8"/>
        <v>309312777.17996585</v>
      </c>
      <c r="H37" s="17">
        <f t="shared" si="8"/>
        <v>396175052.66666865</v>
      </c>
    </row>
    <row r="38" spans="2:8" ht="15.75" customHeight="1" x14ac:dyDescent="0.25"/>
    <row r="39" spans="2:8" ht="15.75" customHeight="1" x14ac:dyDescent="0.25">
      <c r="B39" s="2" t="s">
        <v>70</v>
      </c>
      <c r="D39" s="17">
        <f>D37-BS!D12</f>
        <v>0</v>
      </c>
      <c r="E39" s="17">
        <f>E37-BS!E12</f>
        <v>0</v>
      </c>
      <c r="F39" s="17">
        <f>F37-BS!F12</f>
        <v>0</v>
      </c>
      <c r="G39" s="17">
        <f>G37-BS!G12</f>
        <v>0</v>
      </c>
      <c r="H39" s="17">
        <f>H37-BS!H12</f>
        <v>0</v>
      </c>
    </row>
    <row r="40" spans="2:8" ht="15.75" customHeight="1" x14ac:dyDescent="0.25"/>
    <row r="41" spans="2:8" ht="15.75" customHeight="1" x14ac:dyDescent="0.25"/>
    <row r="42" spans="2:8" ht="15.75" customHeight="1" x14ac:dyDescent="0.25"/>
    <row r="43" spans="2:8" ht="15.75" customHeight="1" x14ac:dyDescent="0.25"/>
    <row r="44" spans="2:8" ht="15.75" customHeight="1" x14ac:dyDescent="0.25"/>
    <row r="45" spans="2:8" ht="15.75" customHeight="1" x14ac:dyDescent="0.25"/>
    <row r="46" spans="2:8" ht="15.75" customHeight="1" x14ac:dyDescent="0.25"/>
    <row r="47" spans="2:8" ht="15.75" customHeight="1" x14ac:dyDescent="0.25"/>
    <row r="48" spans="2: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P1000"/>
  <sheetViews>
    <sheetView showGridLines="0" workbookViewId="0"/>
  </sheetViews>
  <sheetFormatPr defaultColWidth="14.42578125" defaultRowHeight="15" customHeight="1" x14ac:dyDescent="0.25"/>
  <cols>
    <col min="1" max="1" width="1.28515625" customWidth="1"/>
    <col min="2" max="2" width="25.5703125" customWidth="1"/>
    <col min="3" max="3" width="0.85546875" customWidth="1"/>
    <col min="4" max="5" width="16.85546875" customWidth="1"/>
    <col min="6" max="7" width="17.7109375" customWidth="1"/>
    <col min="8" max="9" width="16.85546875" customWidth="1"/>
    <col min="10" max="10" width="8.7109375" customWidth="1"/>
    <col min="11" max="11" width="2.7109375" customWidth="1"/>
    <col min="12" max="26" width="8.7109375" customWidth="1"/>
  </cols>
  <sheetData>
    <row r="2" spans="2:13" ht="23.25" x14ac:dyDescent="0.35">
      <c r="B2" s="1" t="s">
        <v>71</v>
      </c>
      <c r="C2" s="1"/>
    </row>
    <row r="3" spans="2:13" x14ac:dyDescent="0.25">
      <c r="D3" s="2">
        <v>1</v>
      </c>
      <c r="E3" s="2">
        <f t="shared" ref="E3:H3" si="0">D3+1</f>
        <v>2</v>
      </c>
      <c r="F3" s="2">
        <f t="shared" si="0"/>
        <v>3</v>
      </c>
      <c r="G3" s="2">
        <f t="shared" si="0"/>
        <v>4</v>
      </c>
      <c r="H3" s="2">
        <f t="shared" si="0"/>
        <v>5</v>
      </c>
    </row>
    <row r="4" spans="2:13" x14ac:dyDescent="0.25">
      <c r="D4" s="7" t="s">
        <v>23</v>
      </c>
      <c r="E4" s="7" t="s">
        <v>24</v>
      </c>
      <c r="F4" s="7" t="s">
        <v>25</v>
      </c>
      <c r="G4" s="7" t="s">
        <v>26</v>
      </c>
      <c r="H4" s="7" t="s">
        <v>27</v>
      </c>
    </row>
    <row r="5" spans="2:13" x14ac:dyDescent="0.25">
      <c r="B5" s="2" t="s">
        <v>72</v>
      </c>
      <c r="D5" s="17">
        <f>CF!D34-CF!D32</f>
        <v>72436780</v>
      </c>
      <c r="E5" s="17">
        <f>CF!E34-CF!E32</f>
        <v>75336747.451595128</v>
      </c>
      <c r="F5" s="17">
        <f>CF!F34-CF!F32</f>
        <v>79145505.698349744</v>
      </c>
      <c r="G5" s="17">
        <f>CF!G34-CF!G32</f>
        <v>83146123.522279829</v>
      </c>
      <c r="H5" s="17">
        <f>CF!H34-CF!H32</f>
        <v>87348336.068727925</v>
      </c>
      <c r="J5" s="2" t="s">
        <v>73</v>
      </c>
    </row>
    <row r="6" spans="2:13" x14ac:dyDescent="0.25">
      <c r="E6" s="15"/>
      <c r="F6" s="15"/>
      <c r="G6" s="15"/>
      <c r="H6" s="15"/>
      <c r="J6" s="2" t="s">
        <v>74</v>
      </c>
    </row>
    <row r="7" spans="2:13" x14ac:dyDescent="0.25">
      <c r="B7" s="3" t="s">
        <v>75</v>
      </c>
      <c r="C7" s="3"/>
      <c r="D7" s="14">
        <f t="shared" ref="D7:H7" si="1">D5/(1+$D$9)^D3</f>
        <v>67697925.233644858</v>
      </c>
      <c r="E7" s="14">
        <f t="shared" si="1"/>
        <v>65802032.886361361</v>
      </c>
      <c r="F7" s="14">
        <f t="shared" si="1"/>
        <v>64606308.267015718</v>
      </c>
      <c r="G7" s="14">
        <f t="shared" si="1"/>
        <v>63431779.535459392</v>
      </c>
      <c r="H7" s="14">
        <f t="shared" si="1"/>
        <v>62278156.417897828</v>
      </c>
      <c r="J7" s="2" t="s">
        <v>76</v>
      </c>
    </row>
    <row r="8" spans="2:13" x14ac:dyDescent="0.25">
      <c r="C8" s="3"/>
    </row>
    <row r="9" spans="2:13" x14ac:dyDescent="0.25">
      <c r="B9" s="3" t="s">
        <v>77</v>
      </c>
      <c r="C9" s="3"/>
      <c r="D9" s="22">
        <v>7.0000000000000007E-2</v>
      </c>
    </row>
    <row r="10" spans="2:13" x14ac:dyDescent="0.25">
      <c r="B10" s="3" t="s">
        <v>78</v>
      </c>
      <c r="C10" s="3"/>
      <c r="D10" s="22">
        <v>4.3917473938192016E-2</v>
      </c>
      <c r="H10" s="23"/>
      <c r="J10" s="2" t="s">
        <v>79</v>
      </c>
      <c r="M10" s="2" t="s">
        <v>80</v>
      </c>
    </row>
    <row r="12" spans="2:13" x14ac:dyDescent="0.25">
      <c r="B12" s="3" t="s">
        <v>81</v>
      </c>
      <c r="C12" s="3"/>
      <c r="E12" s="5"/>
      <c r="F12" s="5"/>
      <c r="G12" s="5"/>
      <c r="H12" s="5"/>
      <c r="J12" s="2" t="s">
        <v>82</v>
      </c>
    </row>
    <row r="13" spans="2:13" x14ac:dyDescent="0.25">
      <c r="B13" s="2" t="s">
        <v>83</v>
      </c>
      <c r="D13" s="14">
        <f>SUM(D7:H7)</f>
        <v>323816202.34037918</v>
      </c>
      <c r="E13" s="5">
        <f t="shared" ref="E13:E14" si="2">D13/$D$15</f>
        <v>0.1541244891730196</v>
      </c>
      <c r="J13" s="2" t="s">
        <v>84</v>
      </c>
    </row>
    <row r="14" spans="2:13" x14ac:dyDescent="0.25">
      <c r="B14" s="21" t="s">
        <v>85</v>
      </c>
      <c r="C14" s="3"/>
      <c r="D14" s="14">
        <f>(H7*(1+$D$10)/(D9-D10))/(1+$D$9)^H3</f>
        <v>1777188018.8438628</v>
      </c>
      <c r="E14" s="5">
        <f t="shared" si="2"/>
        <v>0.84587551082698043</v>
      </c>
      <c r="J14" s="2" t="s">
        <v>86</v>
      </c>
    </row>
    <row r="15" spans="2:13" x14ac:dyDescent="0.25">
      <c r="B15" s="3" t="s">
        <v>87</v>
      </c>
      <c r="C15" s="3"/>
      <c r="D15" s="14">
        <f>SUM(D13:D14)</f>
        <v>2101004221.184242</v>
      </c>
    </row>
    <row r="16" spans="2:13" x14ac:dyDescent="0.25">
      <c r="B16" s="21" t="s">
        <v>88</v>
      </c>
      <c r="D16" s="17">
        <f>-'Source BS'!K6</f>
        <v>-4000000</v>
      </c>
    </row>
    <row r="17" spans="2:16" x14ac:dyDescent="0.25">
      <c r="B17" s="21" t="s">
        <v>89</v>
      </c>
      <c r="D17" s="17">
        <f>'Source BS'!E11</f>
        <v>800000</v>
      </c>
    </row>
    <row r="18" spans="2:16" x14ac:dyDescent="0.25">
      <c r="B18" s="3" t="s">
        <v>90</v>
      </c>
      <c r="C18" s="3"/>
      <c r="D18" s="14">
        <f>SUM(D15:D17)</f>
        <v>2097804221.184242</v>
      </c>
      <c r="E18" s="2" t="b">
        <f>D18=F24</f>
        <v>0</v>
      </c>
    </row>
    <row r="20" spans="2:16" x14ac:dyDescent="0.25">
      <c r="B20" s="2" t="s">
        <v>91</v>
      </c>
      <c r="C20" s="3"/>
      <c r="D20" s="17">
        <v>10000000</v>
      </c>
    </row>
    <row r="21" spans="2:16" ht="15.75" customHeight="1" x14ac:dyDescent="0.25">
      <c r="B21" s="3" t="s">
        <v>92</v>
      </c>
      <c r="C21" s="3"/>
      <c r="D21" s="3">
        <f>D18/D20</f>
        <v>209.78042211842421</v>
      </c>
      <c r="M21" s="35"/>
      <c r="N21" s="36"/>
      <c r="O21" s="36"/>
      <c r="P21" s="36"/>
    </row>
    <row r="22" spans="2:16" ht="15.75" customHeight="1" x14ac:dyDescent="0.25">
      <c r="C22" s="3"/>
      <c r="F22" s="35" t="s">
        <v>77</v>
      </c>
      <c r="G22" s="36"/>
      <c r="H22" s="36"/>
      <c r="I22" s="36"/>
      <c r="L22" s="17"/>
      <c r="M22" s="5"/>
      <c r="N22" s="5"/>
      <c r="O22" s="5"/>
      <c r="P22" s="5"/>
    </row>
    <row r="23" spans="2:16" ht="15.75" customHeight="1" x14ac:dyDescent="0.25">
      <c r="E23" s="17">
        <f>D18</f>
        <v>2097804221.184242</v>
      </c>
      <c r="F23" s="5">
        <v>7.0000000000000007E-2</v>
      </c>
      <c r="G23" s="5">
        <v>0.08</v>
      </c>
      <c r="H23" s="5">
        <v>0.11</v>
      </c>
      <c r="I23" s="5">
        <v>0.13</v>
      </c>
      <c r="K23" s="37"/>
      <c r="L23" s="5"/>
    </row>
    <row r="24" spans="2:16" ht="15" customHeight="1" x14ac:dyDescent="0.25">
      <c r="E24" s="5">
        <v>0.04</v>
      </c>
      <c r="F24" s="24">
        <v>1859936315.7427323</v>
      </c>
      <c r="G24" s="24">
        <v>1363789849.697473</v>
      </c>
      <c r="H24" s="24">
        <v>744728026.95709062</v>
      </c>
      <c r="I24" s="24">
        <v>570504394.53694701</v>
      </c>
      <c r="K24" s="36"/>
      <c r="L24" s="5"/>
    </row>
    <row r="25" spans="2:16" ht="15.75" customHeight="1" x14ac:dyDescent="0.25">
      <c r="E25" s="5">
        <v>0.06</v>
      </c>
      <c r="F25" s="24">
        <v>5027383472.1668015</v>
      </c>
      <c r="G25" s="24">
        <v>2456187722.1732907</v>
      </c>
      <c r="H25" s="24">
        <v>939851617.31881571</v>
      </c>
      <c r="I25" s="24">
        <v>662812128.81783271</v>
      </c>
      <c r="K25" s="36"/>
      <c r="L25" s="5"/>
    </row>
    <row r="26" spans="2:16" ht="15.75" customHeight="1" x14ac:dyDescent="0.25">
      <c r="E26" s="5">
        <v>0.09</v>
      </c>
      <c r="F26" s="24">
        <v>-2099372629.7873607</v>
      </c>
      <c r="G26" s="24">
        <v>-4098199512.6816187</v>
      </c>
      <c r="H26" s="24">
        <v>1964250466.7178738</v>
      </c>
      <c r="I26" s="24">
        <v>974350732.01582217</v>
      </c>
      <c r="K26" s="36"/>
      <c r="L26" s="5"/>
    </row>
    <row r="27" spans="2:16" ht="15.75" customHeight="1" x14ac:dyDescent="0.25">
      <c r="E27" s="5">
        <v>0.1</v>
      </c>
      <c r="F27" s="24">
        <v>-1307510840.6813409</v>
      </c>
      <c r="G27" s="24">
        <v>-1913403767.7299802</v>
      </c>
      <c r="H27" s="24">
        <v>3671581882.3829722</v>
      </c>
      <c r="I27" s="24">
        <v>1216658534.5031476</v>
      </c>
    </row>
    <row r="28" spans="2:16" ht="15.75" customHeight="1" x14ac:dyDescent="0.25"/>
    <row r="29" spans="2:16" ht="15.75" customHeight="1" x14ac:dyDescent="0.25">
      <c r="E29" s="25">
        <f>E23/1000000000</f>
        <v>2.097804221184242</v>
      </c>
      <c r="F29" s="5">
        <v>7.0000000000000007E-2</v>
      </c>
      <c r="G29" s="5">
        <v>0.08</v>
      </c>
      <c r="H29" s="5">
        <v>0.11</v>
      </c>
      <c r="I29" s="5">
        <v>0.13</v>
      </c>
    </row>
    <row r="30" spans="2:16" ht="15.75" customHeight="1" x14ac:dyDescent="0.25">
      <c r="E30" s="5">
        <v>0.04</v>
      </c>
      <c r="F30" s="25">
        <f t="shared" ref="F30:I30" si="3">F24/1000000000</f>
        <v>1.8599363157427322</v>
      </c>
      <c r="G30" s="25">
        <f t="shared" si="3"/>
        <v>1.363789849697473</v>
      </c>
      <c r="H30" s="25">
        <f t="shared" si="3"/>
        <v>0.74472802695709062</v>
      </c>
      <c r="I30" s="25">
        <f t="shared" si="3"/>
        <v>0.57050439453694701</v>
      </c>
    </row>
    <row r="31" spans="2:16" ht="15.75" customHeight="1" x14ac:dyDescent="0.25">
      <c r="E31" s="5">
        <v>0.06</v>
      </c>
      <c r="F31" s="25">
        <f t="shared" ref="F31:I31" si="4">F25/1000000000</f>
        <v>5.0273834721668011</v>
      </c>
      <c r="G31" s="25">
        <f t="shared" si="4"/>
        <v>2.4561877221732908</v>
      </c>
      <c r="H31" s="25">
        <f t="shared" si="4"/>
        <v>0.93985161731881572</v>
      </c>
      <c r="I31" s="25">
        <f t="shared" si="4"/>
        <v>0.66281212881783269</v>
      </c>
    </row>
    <row r="32" spans="2:16" ht="15.75" customHeight="1" x14ac:dyDescent="0.25">
      <c r="E32" s="5">
        <v>0.09</v>
      </c>
      <c r="F32" s="25">
        <f t="shared" ref="F32:I32" si="5">F26/1000000000</f>
        <v>-2.0993726297873607</v>
      </c>
      <c r="G32" s="25">
        <f t="shared" si="5"/>
        <v>-4.0981995126816191</v>
      </c>
      <c r="H32" s="25">
        <f t="shared" si="5"/>
        <v>1.9642504667178737</v>
      </c>
      <c r="I32" s="25">
        <f t="shared" si="5"/>
        <v>0.97435073201582212</v>
      </c>
    </row>
    <row r="33" spans="3:9" ht="15.75" customHeight="1" x14ac:dyDescent="0.25">
      <c r="E33" s="5">
        <v>0.1</v>
      </c>
      <c r="F33" s="25">
        <f t="shared" ref="F33:I33" si="6">F27/1000000000</f>
        <v>-1.3075108406813409</v>
      </c>
      <c r="G33" s="25">
        <f t="shared" si="6"/>
        <v>-1.9134037677299802</v>
      </c>
      <c r="H33" s="25">
        <f t="shared" si="6"/>
        <v>3.6715818823829722</v>
      </c>
      <c r="I33" s="25">
        <f t="shared" si="6"/>
        <v>1.2166585345031475</v>
      </c>
    </row>
    <row r="34" spans="3:9" ht="15.75" customHeight="1" x14ac:dyDescent="0.25">
      <c r="C34" s="21"/>
    </row>
    <row r="35" spans="3:9" ht="15.75" customHeight="1" x14ac:dyDescent="0.25">
      <c r="E35" s="25"/>
      <c r="F35" s="5"/>
      <c r="G35" s="5"/>
      <c r="H35" s="5"/>
      <c r="I35" s="5"/>
    </row>
    <row r="36" spans="3:9" ht="15.75" customHeight="1" x14ac:dyDescent="0.25">
      <c r="E36" s="5"/>
      <c r="F36" s="25"/>
      <c r="G36" s="25"/>
      <c r="H36" s="25"/>
      <c r="I36" s="25"/>
    </row>
    <row r="37" spans="3:9" ht="15.75" customHeight="1" x14ac:dyDescent="0.25">
      <c r="E37" s="5"/>
      <c r="F37" s="25"/>
      <c r="G37" s="25"/>
      <c r="H37" s="25"/>
      <c r="I37" s="25"/>
    </row>
    <row r="38" spans="3:9" ht="15.75" customHeight="1" x14ac:dyDescent="0.25">
      <c r="E38" s="5"/>
      <c r="F38" s="25"/>
      <c r="G38" s="25"/>
      <c r="H38" s="25"/>
      <c r="I38" s="25"/>
    </row>
    <row r="39" spans="3:9" ht="15.75" customHeight="1" x14ac:dyDescent="0.25">
      <c r="E39" s="5"/>
      <c r="F39" s="25"/>
      <c r="G39" s="25"/>
      <c r="H39" s="25"/>
      <c r="I39" s="25"/>
    </row>
    <row r="40" spans="3:9" ht="15.75" customHeight="1" x14ac:dyDescent="0.25"/>
    <row r="41" spans="3:9" ht="15.75" customHeight="1" x14ac:dyDescent="0.25"/>
    <row r="42" spans="3:9" ht="15.75" customHeight="1" x14ac:dyDescent="0.25"/>
    <row r="43" spans="3:9" ht="15.75" customHeight="1" x14ac:dyDescent="0.25"/>
    <row r="44" spans="3:9" ht="15.75" customHeight="1" x14ac:dyDescent="0.25"/>
    <row r="45" spans="3:9" ht="15.75" customHeight="1" x14ac:dyDescent="0.25"/>
    <row r="46" spans="3:9" ht="15.75" customHeight="1" x14ac:dyDescent="0.25"/>
    <row r="47" spans="3:9" ht="15.75" customHeight="1" x14ac:dyDescent="0.25"/>
    <row r="48" spans="3:9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3">
    <mergeCell ref="M21:P21"/>
    <mergeCell ref="F22:I22"/>
    <mergeCell ref="K23:K26"/>
  </mergeCells>
  <pageMargins left="0.7" right="0.7" top="0.75" bottom="0.75" header="0" footer="0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B1000"/>
  <sheetViews>
    <sheetView showGridLines="0" workbookViewId="0"/>
  </sheetViews>
  <sheetFormatPr defaultColWidth="14.42578125" defaultRowHeight="15" customHeight="1" x14ac:dyDescent="0.25"/>
  <cols>
    <col min="1" max="1" width="1.140625" customWidth="1"/>
    <col min="2" max="26" width="8.7109375" customWidth="1"/>
  </cols>
  <sheetData>
    <row r="2" spans="2:2" ht="23.25" x14ac:dyDescent="0.35">
      <c r="B2" s="1" t="s">
        <v>10</v>
      </c>
    </row>
    <row r="3" spans="2:2" x14ac:dyDescent="0.25">
      <c r="B3" s="26" t="s">
        <v>93</v>
      </c>
    </row>
    <row r="5" spans="2:2" x14ac:dyDescent="0.25">
      <c r="B5" s="2" t="s">
        <v>94</v>
      </c>
    </row>
    <row r="6" spans="2:2" x14ac:dyDescent="0.25">
      <c r="B6" s="2" t="s">
        <v>95</v>
      </c>
    </row>
    <row r="7" spans="2:2" x14ac:dyDescent="0.25">
      <c r="B7" s="2" t="s">
        <v>96</v>
      </c>
    </row>
    <row r="8" spans="2:2" x14ac:dyDescent="0.25">
      <c r="B8" s="2" t="s">
        <v>97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I1000"/>
  <sheetViews>
    <sheetView showGridLines="0" workbookViewId="0"/>
  </sheetViews>
  <sheetFormatPr defaultColWidth="14.42578125" defaultRowHeight="15" customHeight="1" x14ac:dyDescent="0.25"/>
  <cols>
    <col min="1" max="1" width="1.140625" customWidth="1"/>
    <col min="2" max="2" width="25.140625" customWidth="1"/>
    <col min="3" max="3" width="0.85546875" customWidth="1"/>
    <col min="4" max="8" width="15.28515625" customWidth="1"/>
    <col min="9" max="9" width="5.140625" customWidth="1"/>
    <col min="10" max="26" width="8.7109375" customWidth="1"/>
  </cols>
  <sheetData>
    <row r="2" spans="2:9" ht="23.25" x14ac:dyDescent="0.35">
      <c r="B2" s="1" t="s">
        <v>11</v>
      </c>
      <c r="C2" s="1"/>
    </row>
    <row r="4" spans="2:9" x14ac:dyDescent="0.25">
      <c r="B4" s="2" t="s">
        <v>98</v>
      </c>
    </row>
    <row r="5" spans="2:9" x14ac:dyDescent="0.25">
      <c r="D5" s="2" t="str">
        <f>PnL!D4</f>
        <v>Year 1</v>
      </c>
      <c r="E5" s="2" t="str">
        <f>PnL!E4</f>
        <v>Year 2</v>
      </c>
      <c r="F5" s="2" t="str">
        <f>PnL!F4</f>
        <v>Year 3</v>
      </c>
      <c r="G5" s="2" t="str">
        <f>PnL!G4</f>
        <v>Year 4</v>
      </c>
      <c r="H5" s="2" t="str">
        <f>PnL!H4</f>
        <v>Year 5</v>
      </c>
    </row>
    <row r="6" spans="2:9" x14ac:dyDescent="0.25">
      <c r="B6" s="2" t="s">
        <v>28</v>
      </c>
      <c r="D6" s="27">
        <f>PnL!D9</f>
        <v>170000000</v>
      </c>
      <c r="E6" s="27">
        <f>PnL!E9</f>
        <v>178500000</v>
      </c>
      <c r="F6" s="27">
        <f>PnL!F9</f>
        <v>187425000</v>
      </c>
      <c r="G6" s="27">
        <f>PnL!G9</f>
        <v>196796250</v>
      </c>
      <c r="H6" s="27">
        <f>PnL!H9</f>
        <v>206636062.5</v>
      </c>
      <c r="I6" s="17"/>
    </row>
    <row r="7" spans="2:9" x14ac:dyDescent="0.25">
      <c r="B7" s="2" t="s">
        <v>99</v>
      </c>
      <c r="D7" s="27">
        <f>PnL!D28</f>
        <v>98420000</v>
      </c>
      <c r="E7" s="27">
        <f>PnL!E28</f>
        <v>103341000</v>
      </c>
      <c r="F7" s="27">
        <f>PnL!F28</f>
        <v>108508050</v>
      </c>
      <c r="G7" s="27">
        <f>PnL!G28</f>
        <v>113933452.5</v>
      </c>
      <c r="H7" s="27">
        <f>PnL!H28</f>
        <v>119630125.125</v>
      </c>
    </row>
    <row r="8" spans="2:9" x14ac:dyDescent="0.25">
      <c r="B8" s="2" t="s">
        <v>51</v>
      </c>
      <c r="C8" s="3"/>
      <c r="D8" s="27">
        <f>PnL!D37</f>
        <v>69594200</v>
      </c>
      <c r="E8" s="27">
        <f>PnL!E37</f>
        <v>73112944.100991249</v>
      </c>
      <c r="F8" s="27">
        <f>PnL!F37</f>
        <v>76808867.112081617</v>
      </c>
      <c r="G8" s="27">
        <f>PnL!G37</f>
        <v>80690952.149281025</v>
      </c>
      <c r="H8" s="27">
        <f>PnL!H37</f>
        <v>84768643.901450381</v>
      </c>
    </row>
    <row r="9" spans="2:9" x14ac:dyDescent="0.25">
      <c r="B9" s="3" t="s">
        <v>100</v>
      </c>
      <c r="D9" s="28">
        <f t="shared" ref="D9:H9" si="0">D8/D6</f>
        <v>0.40937764705882351</v>
      </c>
      <c r="E9" s="28">
        <f t="shared" si="0"/>
        <v>0.40959632549574931</v>
      </c>
      <c r="F9" s="28">
        <f t="shared" si="0"/>
        <v>0.40981121575073559</v>
      </c>
      <c r="G9" s="28">
        <f t="shared" si="0"/>
        <v>0.41002281369325394</v>
      </c>
      <c r="H9" s="28">
        <f t="shared" si="0"/>
        <v>0.41023160660279412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J1000"/>
  <sheetViews>
    <sheetView showGridLines="0" workbookViewId="0"/>
  </sheetViews>
  <sheetFormatPr defaultColWidth="14.42578125" defaultRowHeight="15" customHeight="1" x14ac:dyDescent="0.25"/>
  <cols>
    <col min="1" max="1" width="1" customWidth="1"/>
    <col min="2" max="2" width="28.140625" customWidth="1"/>
    <col min="3" max="3" width="0.85546875" customWidth="1"/>
    <col min="4" max="4" width="16.85546875" customWidth="1"/>
    <col min="5" max="8" width="15.28515625" customWidth="1"/>
    <col min="9" max="9" width="8.7109375" customWidth="1"/>
    <col min="10" max="10" width="15" customWidth="1"/>
    <col min="11" max="26" width="8.7109375" customWidth="1"/>
  </cols>
  <sheetData>
    <row r="2" spans="2:8" ht="23.25" x14ac:dyDescent="0.35">
      <c r="B2" s="1" t="s">
        <v>101</v>
      </c>
      <c r="C2" s="1"/>
    </row>
    <row r="4" spans="2:8" x14ac:dyDescent="0.25">
      <c r="D4" s="7" t="s">
        <v>23</v>
      </c>
      <c r="E4" s="7" t="s">
        <v>24</v>
      </c>
      <c r="F4" s="7" t="s">
        <v>25</v>
      </c>
      <c r="G4" s="7" t="s">
        <v>26</v>
      </c>
      <c r="H4" s="7" t="s">
        <v>27</v>
      </c>
    </row>
    <row r="5" spans="2:8" x14ac:dyDescent="0.25">
      <c r="B5" s="7" t="s">
        <v>102</v>
      </c>
    </row>
    <row r="6" spans="2:8" x14ac:dyDescent="0.25">
      <c r="B6" s="10" t="s">
        <v>103</v>
      </c>
    </row>
    <row r="7" spans="2:8" x14ac:dyDescent="0.25">
      <c r="B7" s="12" t="s">
        <v>104</v>
      </c>
      <c r="D7" s="18">
        <f>'BS Assumption '!D17</f>
        <v>8500000</v>
      </c>
      <c r="E7" s="18">
        <f>'BS Assumption '!E17</f>
        <v>8925000</v>
      </c>
      <c r="F7" s="18">
        <f>'BS Assumption '!F17</f>
        <v>9371250</v>
      </c>
      <c r="G7" s="18">
        <f>'BS Assumption '!G17</f>
        <v>9839812.5</v>
      </c>
      <c r="H7" s="18">
        <f>'BS Assumption '!H17</f>
        <v>10331803.125</v>
      </c>
    </row>
    <row r="8" spans="2:8" x14ac:dyDescent="0.25">
      <c r="B8" s="12" t="s">
        <v>43</v>
      </c>
      <c r="C8" s="3"/>
      <c r="D8" s="18">
        <f>'BS Assumption '!D20</f>
        <v>5100000</v>
      </c>
      <c r="E8" s="18">
        <f>'BS Assumption '!E20</f>
        <v>5355000</v>
      </c>
      <c r="F8" s="18">
        <f>'BS Assumption '!F20</f>
        <v>5622750</v>
      </c>
      <c r="G8" s="18">
        <f>'BS Assumption '!G20</f>
        <v>5903887.5</v>
      </c>
      <c r="H8" s="18">
        <f>'BS Assumption '!H20</f>
        <v>6199081.875</v>
      </c>
    </row>
    <row r="9" spans="2:8" ht="3" customHeight="1" x14ac:dyDescent="0.25"/>
    <row r="10" spans="2:8" x14ac:dyDescent="0.25">
      <c r="B10" s="10" t="s">
        <v>105</v>
      </c>
      <c r="D10" s="18"/>
      <c r="E10" s="18"/>
      <c r="F10" s="18"/>
      <c r="G10" s="18"/>
      <c r="H10" s="18"/>
    </row>
    <row r="11" spans="2:8" x14ac:dyDescent="0.25">
      <c r="B11" s="12" t="s">
        <v>40</v>
      </c>
      <c r="C11" s="3"/>
      <c r="D11" s="18">
        <f>'BS Assumption '!D11</f>
        <v>900000</v>
      </c>
      <c r="E11" s="18">
        <f>'BS Assumption '!E11</f>
        <v>945000</v>
      </c>
      <c r="F11" s="18">
        <f>'BS Assumption '!F11</f>
        <v>992250</v>
      </c>
      <c r="G11" s="18">
        <f>'BS Assumption '!G11</f>
        <v>1041862.5</v>
      </c>
      <c r="H11" s="18">
        <f>'BS Assumption '!H11</f>
        <v>1093955.625</v>
      </c>
    </row>
    <row r="12" spans="2:8" x14ac:dyDescent="0.25">
      <c r="B12" s="12" t="s">
        <v>106</v>
      </c>
      <c r="D12" s="18">
        <f>'Source BS'!E11+CF!D34</f>
        <v>72887003.929700747</v>
      </c>
      <c r="E12" s="18">
        <f>D12+CF!E34</f>
        <v>147861497.70396668</v>
      </c>
      <c r="F12" s="18">
        <f>E12+CF!F34</f>
        <v>226607399.35725433</v>
      </c>
      <c r="G12" s="18">
        <f>F12+CF!G34</f>
        <v>309312777.17996585</v>
      </c>
      <c r="H12" s="18">
        <f>G12+CF!H34</f>
        <v>396175052.66666865</v>
      </c>
    </row>
    <row r="13" spans="2:8" x14ac:dyDescent="0.25">
      <c r="B13" s="12" t="s">
        <v>107</v>
      </c>
      <c r="D13" s="18">
        <f>'BS Assumption '!D8</f>
        <v>2549999.9999999995</v>
      </c>
      <c r="E13" s="18">
        <f>'BS Assumption '!E8</f>
        <v>2677499.9999999995</v>
      </c>
      <c r="F13" s="18">
        <f>'BS Assumption '!F8</f>
        <v>2811374.9999999995</v>
      </c>
      <c r="G13" s="18">
        <f>'BS Assumption '!G8</f>
        <v>2951943.75</v>
      </c>
      <c r="H13" s="18">
        <f>'BS Assumption '!H8</f>
        <v>3099540.9375</v>
      </c>
    </row>
    <row r="14" spans="2:8" ht="3" customHeight="1" x14ac:dyDescent="0.25"/>
    <row r="15" spans="2:8" x14ac:dyDescent="0.25">
      <c r="B15" s="7" t="s">
        <v>108</v>
      </c>
      <c r="C15" s="21"/>
      <c r="D15" s="29">
        <f t="shared" ref="D15:H15" si="0">SUM(D7:D14)</f>
        <v>89937003.929700747</v>
      </c>
      <c r="E15" s="29">
        <f t="shared" si="0"/>
        <v>165763997.70396668</v>
      </c>
      <c r="F15" s="29">
        <f t="shared" si="0"/>
        <v>245405024.35725433</v>
      </c>
      <c r="G15" s="29">
        <f t="shared" si="0"/>
        <v>329050283.42996585</v>
      </c>
      <c r="H15" s="29">
        <f t="shared" si="0"/>
        <v>416899434.22916865</v>
      </c>
    </row>
    <row r="16" spans="2:8" ht="3" customHeight="1" x14ac:dyDescent="0.25"/>
    <row r="17" spans="2:10" ht="3" customHeight="1" x14ac:dyDescent="0.25"/>
    <row r="18" spans="2:10" x14ac:dyDescent="0.25">
      <c r="B18" s="7" t="s">
        <v>109</v>
      </c>
      <c r="D18" s="18"/>
      <c r="E18" s="18"/>
      <c r="F18" s="18"/>
      <c r="G18" s="18"/>
      <c r="H18" s="18"/>
    </row>
    <row r="19" spans="2:10" x14ac:dyDescent="0.25">
      <c r="B19" s="10" t="s">
        <v>110</v>
      </c>
      <c r="D19" s="18"/>
      <c r="E19" s="18"/>
      <c r="F19" s="18"/>
      <c r="G19" s="18"/>
      <c r="H19" s="18"/>
    </row>
    <row r="20" spans="2:10" x14ac:dyDescent="0.25">
      <c r="B20" s="12" t="s">
        <v>111</v>
      </c>
      <c r="C20" s="3"/>
      <c r="D20" s="18">
        <f>'Debt Schedule'!F13</f>
        <v>3650223.9297007462</v>
      </c>
      <c r="E20" s="18">
        <f>'Debt Schedule'!F14</f>
        <v>3265470.2523715673</v>
      </c>
      <c r="F20" s="18">
        <f>'Debt Schedule'!F15</f>
        <v>2842241.2073094705</v>
      </c>
      <c r="G20" s="18">
        <f>'Debt Schedule'!F16</f>
        <v>2376689.257741164</v>
      </c>
      <c r="H20" s="18">
        <f>'Debt Schedule'!F17</f>
        <v>1864582.1132160267</v>
      </c>
    </row>
    <row r="21" spans="2:10" ht="3" customHeight="1" x14ac:dyDescent="0.25"/>
    <row r="22" spans="2:10" ht="15.75" customHeight="1" x14ac:dyDescent="0.25">
      <c r="B22" s="10" t="s">
        <v>112</v>
      </c>
      <c r="C22" s="3"/>
      <c r="D22" s="18"/>
      <c r="E22" s="18"/>
      <c r="F22" s="18"/>
      <c r="G22" s="18"/>
      <c r="H22" s="18"/>
      <c r="J22" s="17"/>
    </row>
    <row r="23" spans="2:10" ht="15.75" customHeight="1" x14ac:dyDescent="0.25">
      <c r="B23" s="12" t="s">
        <v>113</v>
      </c>
      <c r="D23" s="18">
        <f>'BS Assumption '!D14</f>
        <v>1800000</v>
      </c>
      <c r="E23" s="18">
        <f>'BS Assumption '!E14</f>
        <v>1890000</v>
      </c>
      <c r="F23" s="18">
        <f>'BS Assumption '!F14</f>
        <v>1984500</v>
      </c>
      <c r="G23" s="18">
        <f>'BS Assumption '!G14</f>
        <v>2083725</v>
      </c>
      <c r="H23" s="18">
        <f>'BS Assumption '!H14</f>
        <v>2187911.25</v>
      </c>
      <c r="J23" s="17"/>
    </row>
    <row r="24" spans="2:10" ht="15.75" customHeight="1" x14ac:dyDescent="0.25">
      <c r="B24" s="12" t="s">
        <v>114</v>
      </c>
      <c r="D24" s="18">
        <f>-PnL!D34*10%</f>
        <v>2842580</v>
      </c>
      <c r="E24" s="18">
        <f>-PnL!E34*10%+D24</f>
        <v>5828883.3506038673</v>
      </c>
      <c r="F24" s="18">
        <f>-PnL!F34*10%+E24</f>
        <v>8966146.9368719906</v>
      </c>
      <c r="G24" s="18">
        <f>-PnL!G34*10%+F24</f>
        <v>12261974.559870793</v>
      </c>
      <c r="H24" s="18">
        <f>-PnL!H34*10%+G24</f>
        <v>15724355.789648343</v>
      </c>
      <c r="J24" s="17"/>
    </row>
    <row r="25" spans="2:10" ht="15.75" customHeight="1" x14ac:dyDescent="0.25">
      <c r="B25" s="12" t="s">
        <v>115</v>
      </c>
      <c r="D25" s="18">
        <f>'BS Assumption '!D23</f>
        <v>450000</v>
      </c>
      <c r="E25" s="18">
        <f>'BS Assumption '!E23</f>
        <v>472500</v>
      </c>
      <c r="F25" s="18">
        <f>'BS Assumption '!F23</f>
        <v>496125</v>
      </c>
      <c r="G25" s="18">
        <f>'BS Assumption '!G23</f>
        <v>520931.25</v>
      </c>
      <c r="H25" s="18">
        <f>'BS Assumption '!H23</f>
        <v>546977.8125</v>
      </c>
      <c r="J25" s="17"/>
    </row>
    <row r="26" spans="2:10" ht="3" customHeight="1" x14ac:dyDescent="0.25"/>
    <row r="27" spans="2:10" ht="15.75" customHeight="1" x14ac:dyDescent="0.25">
      <c r="B27" s="7" t="s">
        <v>116</v>
      </c>
      <c r="D27" s="18"/>
      <c r="E27" s="18"/>
      <c r="F27" s="18"/>
      <c r="G27" s="18"/>
      <c r="H27" s="18"/>
    </row>
    <row r="28" spans="2:10" ht="15.75" customHeight="1" x14ac:dyDescent="0.25">
      <c r="B28" s="12" t="s">
        <v>117</v>
      </c>
      <c r="D28" s="18">
        <f>'Source BS'!K14</f>
        <v>11600000</v>
      </c>
      <c r="E28" s="18">
        <f t="shared" ref="E28:H28" si="1">D28</f>
        <v>11600000</v>
      </c>
      <c r="F28" s="18">
        <f t="shared" si="1"/>
        <v>11600000</v>
      </c>
      <c r="G28" s="18">
        <f t="shared" si="1"/>
        <v>11600000</v>
      </c>
      <c r="H28" s="18">
        <f t="shared" si="1"/>
        <v>11600000</v>
      </c>
      <c r="I28" s="2" t="s">
        <v>118</v>
      </c>
    </row>
    <row r="29" spans="2:10" ht="15.75" customHeight="1" x14ac:dyDescent="0.25">
      <c r="B29" s="12" t="s">
        <v>119</v>
      </c>
      <c r="D29" s="18">
        <v>0</v>
      </c>
      <c r="E29" s="18">
        <f t="shared" ref="E29:H29" si="2">D29+D30</f>
        <v>69594200</v>
      </c>
      <c r="F29" s="18">
        <f t="shared" si="2"/>
        <v>142707144.10099125</v>
      </c>
      <c r="G29" s="18">
        <f t="shared" si="2"/>
        <v>219516011.21307287</v>
      </c>
      <c r="H29" s="18">
        <f t="shared" si="2"/>
        <v>300206963.36235392</v>
      </c>
    </row>
    <row r="30" spans="2:10" ht="15.75" customHeight="1" x14ac:dyDescent="0.25">
      <c r="B30" s="12" t="s">
        <v>120</v>
      </c>
      <c r="D30" s="18">
        <f>PnL!D37</f>
        <v>69594200</v>
      </c>
      <c r="E30" s="18">
        <f>PnL!E37</f>
        <v>73112944.100991249</v>
      </c>
      <c r="F30" s="18">
        <f>PnL!F37</f>
        <v>76808867.112081617</v>
      </c>
      <c r="G30" s="18">
        <f>PnL!G37</f>
        <v>80690952.149281025</v>
      </c>
      <c r="H30" s="18">
        <f>PnL!H37</f>
        <v>84768643.901450381</v>
      </c>
    </row>
    <row r="31" spans="2:10" ht="15.75" customHeight="1" x14ac:dyDescent="0.25">
      <c r="B31" s="12" t="s">
        <v>121</v>
      </c>
      <c r="D31" s="18">
        <v>0</v>
      </c>
      <c r="E31" s="18"/>
      <c r="F31" s="18"/>
      <c r="G31" s="18"/>
      <c r="H31" s="18"/>
    </row>
    <row r="32" spans="2:10" ht="3" customHeight="1" x14ac:dyDescent="0.25"/>
    <row r="33" spans="2:8" ht="15.75" customHeight="1" x14ac:dyDescent="0.25">
      <c r="B33" s="7" t="s">
        <v>122</v>
      </c>
      <c r="C33" s="21"/>
      <c r="D33" s="29">
        <f t="shared" ref="D33:H33" si="3">SUM(D20:D31)</f>
        <v>89937003.929700747</v>
      </c>
      <c r="E33" s="29">
        <f t="shared" si="3"/>
        <v>165763997.70396668</v>
      </c>
      <c r="F33" s="29">
        <f t="shared" si="3"/>
        <v>245405024.35725433</v>
      </c>
      <c r="G33" s="29">
        <f t="shared" si="3"/>
        <v>329050283.42996585</v>
      </c>
      <c r="H33" s="29">
        <f t="shared" si="3"/>
        <v>416899434.22916871</v>
      </c>
    </row>
    <row r="34" spans="2:8" ht="15.75" customHeight="1" x14ac:dyDescent="0.25"/>
    <row r="35" spans="2:8" ht="15.75" customHeight="1" x14ac:dyDescent="0.25">
      <c r="B35" s="2" t="s">
        <v>70</v>
      </c>
      <c r="D35" s="17">
        <f t="shared" ref="D35:H35" si="4">D33-D15</f>
        <v>0</v>
      </c>
      <c r="E35" s="17">
        <f t="shared" si="4"/>
        <v>0</v>
      </c>
      <c r="F35" s="17">
        <f t="shared" si="4"/>
        <v>0</v>
      </c>
      <c r="G35" s="17">
        <f t="shared" si="4"/>
        <v>0</v>
      </c>
      <c r="H35" s="17">
        <f t="shared" si="4"/>
        <v>0</v>
      </c>
    </row>
    <row r="36" spans="2:8" ht="15.75" customHeight="1" x14ac:dyDescent="0.25">
      <c r="D36" s="17"/>
    </row>
    <row r="37" spans="2:8" ht="15.75" customHeight="1" x14ac:dyDescent="0.25"/>
    <row r="38" spans="2:8" ht="15.75" customHeight="1" x14ac:dyDescent="0.25"/>
    <row r="39" spans="2:8" ht="15.75" customHeight="1" x14ac:dyDescent="0.25"/>
    <row r="40" spans="2:8" ht="15.75" customHeight="1" x14ac:dyDescent="0.25"/>
    <row r="41" spans="2:8" ht="15.75" customHeight="1" x14ac:dyDescent="0.25"/>
    <row r="42" spans="2:8" ht="15.75" customHeight="1" x14ac:dyDescent="0.25"/>
    <row r="43" spans="2:8" ht="15.75" customHeight="1" x14ac:dyDescent="0.25"/>
    <row r="44" spans="2:8" ht="15.75" customHeight="1" x14ac:dyDescent="0.25"/>
    <row r="45" spans="2:8" ht="15.75" customHeight="1" x14ac:dyDescent="0.25"/>
    <row r="46" spans="2:8" ht="15.75" customHeight="1" x14ac:dyDescent="0.25"/>
    <row r="47" spans="2:8" ht="15.75" customHeight="1" x14ac:dyDescent="0.25"/>
    <row r="48" spans="2: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TOC</vt:lpstr>
      <vt:lpstr>Profit and Loss Assumption</vt:lpstr>
      <vt:lpstr>BS Assumption </vt:lpstr>
      <vt:lpstr>PnL</vt:lpstr>
      <vt:lpstr>CF</vt:lpstr>
      <vt:lpstr>DCF</vt:lpstr>
      <vt:lpstr>BE</vt:lpstr>
      <vt:lpstr>Revenue vs EBIDTA</vt:lpstr>
      <vt:lpstr>BS</vt:lpstr>
      <vt:lpstr>DCF Results</vt:lpstr>
      <vt:lpstr>Source PnL</vt:lpstr>
      <vt:lpstr>Source BS</vt:lpstr>
      <vt:lpstr>Revenue &amp; Cost Model</vt:lpstr>
      <vt:lpstr>Debt Schedule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Arslan, Ahmed</dc:creator>
  <cp:lastModifiedBy>Talha Mazhar</cp:lastModifiedBy>
  <cp:lastPrinted>2024-04-13T13:00:48Z</cp:lastPrinted>
  <dcterms:created xsi:type="dcterms:W3CDTF">2015-06-05T18:17:20Z</dcterms:created>
  <dcterms:modified xsi:type="dcterms:W3CDTF">2024-04-13T13:50:41Z</dcterms:modified>
</cp:coreProperties>
</file>