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1" documentId="13_ncr:1_{B99B6D58-2D64-4ECD-A1A2-D71C7DBDF7B7}" xr6:coauthVersionLast="47" xr6:coauthVersionMax="47" xr10:uidLastSave="{019CBE8C-807C-4971-9BDD-5E9225346E5C}"/>
  <bookViews>
    <workbookView xWindow="-120" yWindow="-120" windowWidth="20730" windowHeight="11160" firstSheet="10" activeTab="14" xr2:uid="{00000000-000D-0000-FFFF-FFFF00000000}"/>
  </bookViews>
  <sheets>
    <sheet name="Sheet1" sheetId="1" r:id="rId1"/>
    <sheet name="REVENUE COST " sheetId="3" r:id="rId2"/>
    <sheet name="profit loss statement SOURCE" sheetId="4" r:id="rId3"/>
    <sheet name="PROFIT LOSS STATEMENT" sheetId="10" r:id="rId4"/>
    <sheet name="balance sheet source" sheetId="5" r:id="rId5"/>
    <sheet name="BALANCE SHEET assumptions " sheetId="11" r:id="rId6"/>
    <sheet name="SOFP" sheetId="12" r:id="rId7"/>
    <sheet name="cash flows" sheetId="6" r:id="rId8"/>
    <sheet name="profit and loss assumptions" sheetId="2" r:id="rId9"/>
    <sheet name="discounted cashfows" sheetId="7" r:id="rId10"/>
    <sheet name="DCF RESULTS" sheetId="14" r:id="rId11"/>
    <sheet name="CHARTS" sheetId="13" r:id="rId12"/>
    <sheet name="breakeven analysis" sheetId="8" r:id="rId13"/>
    <sheet name="Sheet2" sheetId="15" r:id="rId14"/>
    <sheet name="debt calculator" sheetId="9" r:id="rId15"/>
  </sheets>
  <definedNames>
    <definedName name="_xlchart.v1.0" hidden="1">'DCF RESULTS'!$B$3:$B$4</definedName>
    <definedName name="_xlchart.v1.1" hidden="1">'DCF RESULTS'!$E$3:$E$4</definedName>
    <definedName name="_xlnm.Print_Area" localSheetId="5">'BALANCE SHEET assumptions '!$A$1:$F$30</definedName>
    <definedName name="_xlnm.Print_Area" localSheetId="4">'balance sheet source'!$A$1:$N$20</definedName>
    <definedName name="_xlnm.Print_Area" localSheetId="7">'cash flows'!$A$1:$H$41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7" l="1"/>
  <c r="C16" i="7"/>
  <c r="D6" i="7"/>
  <c r="E6" i="7"/>
  <c r="F6" i="7"/>
  <c r="G6" i="7"/>
  <c r="C6" i="7"/>
  <c r="G35" i="6"/>
  <c r="F35" i="6"/>
  <c r="E35" i="6"/>
  <c r="D35" i="6"/>
  <c r="C35" i="6"/>
  <c r="A27" i="10"/>
  <c r="F91" i="2"/>
  <c r="E91" i="2"/>
  <c r="D91" i="2"/>
  <c r="C91" i="2"/>
  <c r="B91" i="2"/>
  <c r="C15" i="9"/>
  <c r="C40" i="6"/>
  <c r="E33" i="6"/>
  <c r="F33" i="6"/>
  <c r="G33" i="6"/>
  <c r="D33" i="6"/>
  <c r="E32" i="6"/>
  <c r="F32" i="6"/>
  <c r="G32" i="6"/>
  <c r="D32" i="6"/>
  <c r="C33" i="6"/>
  <c r="C32" i="6"/>
  <c r="D29" i="12"/>
  <c r="A46" i="2" l="1"/>
  <c r="A39" i="2"/>
  <c r="A33" i="2"/>
  <c r="A25" i="2"/>
  <c r="A18" i="2"/>
  <c r="A12" i="2"/>
  <c r="B4" i="4"/>
  <c r="B4" i="10" s="1"/>
  <c r="B10" i="10"/>
  <c r="A8" i="10"/>
  <c r="B9" i="10"/>
  <c r="B11" i="10"/>
  <c r="A14" i="10"/>
  <c r="A17" i="10"/>
  <c r="A18" i="10"/>
  <c r="A19" i="10"/>
  <c r="A20" i="10"/>
  <c r="A21" i="10"/>
  <c r="A22" i="10"/>
  <c r="A25" i="10"/>
  <c r="A29" i="10"/>
  <c r="A31" i="10"/>
  <c r="A34" i="10"/>
  <c r="A3" i="10"/>
  <c r="A85" i="2"/>
  <c r="A79" i="2"/>
  <c r="A73" i="2"/>
  <c r="A67" i="2"/>
  <c r="A61" i="2"/>
  <c r="A54" i="2"/>
  <c r="C10" i="4"/>
  <c r="C17" i="4"/>
  <c r="B61" i="2" s="1"/>
  <c r="C18" i="4"/>
  <c r="B67" i="2" s="1"/>
  <c r="C19" i="4"/>
  <c r="C20" i="4"/>
  <c r="B73" i="2" s="1"/>
  <c r="C21" i="4"/>
  <c r="B85" i="2" s="1"/>
  <c r="C16" i="4"/>
  <c r="C22" i="10" l="1"/>
  <c r="E22" i="4"/>
  <c r="B79" i="2"/>
  <c r="D27" i="10"/>
  <c r="D34" i="6" s="1"/>
  <c r="E27" i="10"/>
  <c r="E34" i="6" s="1"/>
  <c r="F27" i="10"/>
  <c r="F34" i="6" s="1"/>
  <c r="G27" i="10"/>
  <c r="G34" i="6" s="1"/>
  <c r="C27" i="10"/>
  <c r="C34" i="6" s="1"/>
  <c r="C18" i="10"/>
  <c r="C21" i="10"/>
  <c r="C20" i="10"/>
  <c r="C19" i="10"/>
  <c r="F47" i="2"/>
  <c r="E47" i="2"/>
  <c r="D47" i="2"/>
  <c r="C47" i="2"/>
  <c r="B47" i="2"/>
  <c r="F40" i="2"/>
  <c r="E40" i="2"/>
  <c r="D40" i="2"/>
  <c r="C40" i="2"/>
  <c r="B40" i="2"/>
  <c r="F34" i="2"/>
  <c r="E34" i="2"/>
  <c r="D34" i="2"/>
  <c r="C34" i="2"/>
  <c r="B34" i="2"/>
  <c r="F26" i="2"/>
  <c r="E26" i="2"/>
  <c r="D26" i="2"/>
  <c r="C26" i="2"/>
  <c r="B26" i="2"/>
  <c r="F19" i="2"/>
  <c r="E19" i="2"/>
  <c r="D19" i="2"/>
  <c r="C19" i="2"/>
  <c r="B19" i="2"/>
  <c r="B39" i="2"/>
  <c r="C10" i="10" s="1"/>
  <c r="N5" i="5"/>
  <c r="N20" i="5" s="1"/>
  <c r="C39" i="2" l="1"/>
  <c r="C5" i="4"/>
  <c r="B18" i="2" s="1"/>
  <c r="C18" i="2" s="1"/>
  <c r="D18" i="2" s="1"/>
  <c r="E18" i="2" s="1"/>
  <c r="F18" i="2" s="1"/>
  <c r="B6" i="4"/>
  <c r="B6" i="10" s="1"/>
  <c r="B5" i="4"/>
  <c r="B5" i="10" s="1"/>
  <c r="C5" i="10" s="1"/>
  <c r="R10" i="9"/>
  <c r="S10" i="9"/>
  <c r="T10" i="9"/>
  <c r="U10" i="9"/>
  <c r="V10" i="9"/>
  <c r="Q10" i="9"/>
  <c r="N105" i="9"/>
  <c r="O105" i="9" s="1"/>
  <c r="P105" i="9" s="1"/>
  <c r="S105" i="9" s="1"/>
  <c r="N106" i="9" s="1"/>
  <c r="O106" i="9" s="1"/>
  <c r="R106" i="9" s="1"/>
  <c r="Q105" i="9"/>
  <c r="Q106" i="9"/>
  <c r="Q107" i="9"/>
  <c r="Q108" i="9"/>
  <c r="Q109" i="9"/>
  <c r="Q110" i="9"/>
  <c r="N87" i="9"/>
  <c r="O87" i="9" s="1"/>
  <c r="P87" i="9" s="1"/>
  <c r="S87" i="9" s="1"/>
  <c r="N88" i="9" s="1"/>
  <c r="Q87" i="9"/>
  <c r="R87" i="9" s="1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N71" i="9"/>
  <c r="O71" i="9"/>
  <c r="P71" i="9" s="1"/>
  <c r="S71" i="9" s="1"/>
  <c r="N72" i="9" s="1"/>
  <c r="Q71" i="9"/>
  <c r="R71" i="9" s="1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S15" i="9"/>
  <c r="R15" i="9"/>
  <c r="Q15" i="9"/>
  <c r="O15" i="9"/>
  <c r="N15" i="9"/>
  <c r="S5" i="9"/>
  <c r="Q22" i="9" s="1"/>
  <c r="N9" i="9"/>
  <c r="D15" i="9"/>
  <c r="E15" i="9"/>
  <c r="H5" i="9"/>
  <c r="D39" i="2" l="1"/>
  <c r="D10" i="10"/>
  <c r="F15" i="9"/>
  <c r="G15" i="9" s="1"/>
  <c r="F17" i="9"/>
  <c r="F18" i="9"/>
  <c r="F19" i="9"/>
  <c r="F16" i="9"/>
  <c r="H15" i="9"/>
  <c r="G5" i="10"/>
  <c r="D5" i="10"/>
  <c r="F5" i="10"/>
  <c r="E5" i="10"/>
  <c r="R105" i="9"/>
  <c r="P106" i="9"/>
  <c r="S106" i="9" s="1"/>
  <c r="N107" i="9" s="1"/>
  <c r="O88" i="9"/>
  <c r="R88" i="9" s="1"/>
  <c r="O72" i="9"/>
  <c r="R72" i="9" s="1"/>
  <c r="P15" i="9"/>
  <c r="Q70" i="9"/>
  <c r="Q18" i="9"/>
  <c r="Q68" i="9"/>
  <c r="Q64" i="9"/>
  <c r="Q60" i="9"/>
  <c r="Q56" i="9"/>
  <c r="Q52" i="9"/>
  <c r="Q48" i="9"/>
  <c r="Q44" i="9"/>
  <c r="Q40" i="9"/>
  <c r="Q36" i="9"/>
  <c r="Q32" i="9"/>
  <c r="Q28" i="9"/>
  <c r="Q24" i="9"/>
  <c r="Q20" i="9"/>
  <c r="Q16" i="9"/>
  <c r="Q66" i="9"/>
  <c r="Q19" i="9"/>
  <c r="Q69" i="9"/>
  <c r="Q65" i="9"/>
  <c r="Q61" i="9"/>
  <c r="Q57" i="9"/>
  <c r="Q53" i="9"/>
  <c r="Q49" i="9"/>
  <c r="Q45" i="9"/>
  <c r="Q41" i="9"/>
  <c r="Q37" i="9"/>
  <c r="Q33" i="9"/>
  <c r="Q29" i="9"/>
  <c r="Q25" i="9"/>
  <c r="Q21" i="9"/>
  <c r="Q17" i="9"/>
  <c r="Q67" i="9"/>
  <c r="Q63" i="9"/>
  <c r="Q59" i="9"/>
  <c r="Q55" i="9"/>
  <c r="Q51" i="9"/>
  <c r="Q47" i="9"/>
  <c r="Q43" i="9"/>
  <c r="Q39" i="9"/>
  <c r="Q35" i="9"/>
  <c r="Q31" i="9"/>
  <c r="Q27" i="9"/>
  <c r="Q23" i="9"/>
  <c r="Q62" i="9"/>
  <c r="Q58" i="9"/>
  <c r="Q54" i="9"/>
  <c r="Q50" i="9"/>
  <c r="Q46" i="9"/>
  <c r="Q42" i="9"/>
  <c r="Q38" i="9"/>
  <c r="Q34" i="9"/>
  <c r="Q30" i="9"/>
  <c r="Q26" i="9"/>
  <c r="N14" i="3"/>
  <c r="I30" i="3"/>
  <c r="I32" i="3" s="1"/>
  <c r="C11" i="4" s="1"/>
  <c r="B46" i="2" s="1"/>
  <c r="I14" i="3"/>
  <c r="I10" i="3"/>
  <c r="D32" i="3"/>
  <c r="C6" i="4" s="1"/>
  <c r="B25" i="2" s="1"/>
  <c r="C25" i="2" s="1"/>
  <c r="D25" i="2" s="1"/>
  <c r="E25" i="2" s="1"/>
  <c r="F25" i="2" s="1"/>
  <c r="G6" i="10" s="1"/>
  <c r="D10" i="3"/>
  <c r="C4" i="4" s="1"/>
  <c r="B12" i="2" s="1"/>
  <c r="C11" i="10" l="1"/>
  <c r="C46" i="2"/>
  <c r="E6" i="4"/>
  <c r="E6" i="10"/>
  <c r="C4" i="10"/>
  <c r="C7" i="10" s="1"/>
  <c r="B10" i="2"/>
  <c r="C6" i="10"/>
  <c r="C9" i="4"/>
  <c r="B33" i="2" s="1"/>
  <c r="E35" i="3"/>
  <c r="D6" i="10"/>
  <c r="F6" i="10"/>
  <c r="E39" i="2"/>
  <c r="E10" i="10"/>
  <c r="C16" i="9"/>
  <c r="D16" i="9" s="1"/>
  <c r="E16" i="9" s="1"/>
  <c r="H16" i="9" s="1"/>
  <c r="D19" i="12"/>
  <c r="C31" i="6" s="1"/>
  <c r="G16" i="9"/>
  <c r="E11" i="4"/>
  <c r="I35" i="3"/>
  <c r="O107" i="9"/>
  <c r="R107" i="9" s="1"/>
  <c r="P88" i="9"/>
  <c r="S88" i="9" s="1"/>
  <c r="N89" i="9" s="1"/>
  <c r="P72" i="9"/>
  <c r="S72" i="9" s="1"/>
  <c r="N73" i="9" s="1"/>
  <c r="N16" i="9"/>
  <c r="G18" i="4" l="1"/>
  <c r="B70" i="2" s="1"/>
  <c r="G19" i="4"/>
  <c r="B76" i="2" s="1"/>
  <c r="G22" i="4"/>
  <c r="G17" i="4"/>
  <c r="B64" i="2" s="1"/>
  <c r="G21" i="4"/>
  <c r="B88" i="2" s="1"/>
  <c r="G20" i="4"/>
  <c r="B82" i="2" s="1"/>
  <c r="G16" i="4"/>
  <c r="B57" i="2" s="1"/>
  <c r="D46" i="2"/>
  <c r="D11" i="10"/>
  <c r="I8" i="6"/>
  <c r="C5" i="13"/>
  <c r="F39" i="2"/>
  <c r="G10" i="10" s="1"/>
  <c r="F10" i="10"/>
  <c r="C17" i="9"/>
  <c r="E19" i="12"/>
  <c r="D31" i="6" s="1"/>
  <c r="C9" i="10"/>
  <c r="C12" i="10" s="1"/>
  <c r="Q10" i="5" s="1"/>
  <c r="B31" i="2"/>
  <c r="C33" i="2"/>
  <c r="F10" i="5"/>
  <c r="E13" i="4"/>
  <c r="E24" i="4" s="1"/>
  <c r="E28" i="4" s="1"/>
  <c r="E30" i="4" s="1"/>
  <c r="E33" i="4" s="1"/>
  <c r="B22" i="11"/>
  <c r="B21" i="11" s="1"/>
  <c r="D8" i="12" s="1"/>
  <c r="F12" i="5"/>
  <c r="B26" i="11"/>
  <c r="B25" i="11" s="1"/>
  <c r="D7" i="12" s="1"/>
  <c r="P107" i="9"/>
  <c r="S107" i="9" s="1"/>
  <c r="N108" i="9" s="1"/>
  <c r="O89" i="9"/>
  <c r="R89" i="9" s="1"/>
  <c r="P89" i="9"/>
  <c r="S89" i="9" s="1"/>
  <c r="N90" i="9" s="1"/>
  <c r="O73" i="9"/>
  <c r="R73" i="9" s="1"/>
  <c r="O16" i="9"/>
  <c r="R16" i="9" s="1"/>
  <c r="C65" i="2" l="1"/>
  <c r="C62" i="2" s="1"/>
  <c r="C61" i="2" s="1"/>
  <c r="D65" i="2"/>
  <c r="D62" i="2" s="1"/>
  <c r="D63" i="2"/>
  <c r="C63" i="2"/>
  <c r="F65" i="2"/>
  <c r="F62" i="2" s="1"/>
  <c r="F63" i="2"/>
  <c r="B63" i="2"/>
  <c r="B65" i="2"/>
  <c r="B62" i="2" s="1"/>
  <c r="E65" i="2"/>
  <c r="E62" i="2" s="1"/>
  <c r="E63" i="2"/>
  <c r="D56" i="2"/>
  <c r="F56" i="2"/>
  <c r="F58" i="2"/>
  <c r="F55" i="2" s="1"/>
  <c r="C58" i="2"/>
  <c r="C55" i="2" s="1"/>
  <c r="D58" i="2"/>
  <c r="D55" i="2" s="1"/>
  <c r="B56" i="2"/>
  <c r="C56" i="2"/>
  <c r="E58" i="2"/>
  <c r="E55" i="2" s="1"/>
  <c r="B58" i="2"/>
  <c r="B55" i="2" s="1"/>
  <c r="B54" i="2" s="1"/>
  <c r="E56" i="2"/>
  <c r="D83" i="2"/>
  <c r="D80" i="2" s="1"/>
  <c r="F81" i="2"/>
  <c r="F83" i="2"/>
  <c r="F80" i="2" s="1"/>
  <c r="C81" i="2"/>
  <c r="E83" i="2"/>
  <c r="E80" i="2" s="1"/>
  <c r="B81" i="2"/>
  <c r="B83" i="2"/>
  <c r="B80" i="2" s="1"/>
  <c r="D81" i="2"/>
  <c r="C83" i="2"/>
  <c r="C80" i="2" s="1"/>
  <c r="C79" i="2" s="1"/>
  <c r="E81" i="2"/>
  <c r="E77" i="2"/>
  <c r="E74" i="2" s="1"/>
  <c r="F75" i="2"/>
  <c r="B75" i="2"/>
  <c r="D77" i="2"/>
  <c r="D74" i="2" s="1"/>
  <c r="E75" i="2"/>
  <c r="C77" i="2"/>
  <c r="C74" i="2" s="1"/>
  <c r="C73" i="2" s="1"/>
  <c r="D75" i="2"/>
  <c r="F77" i="2"/>
  <c r="F74" i="2" s="1"/>
  <c r="B77" i="2"/>
  <c r="B74" i="2" s="1"/>
  <c r="C75" i="2"/>
  <c r="E46" i="2"/>
  <c r="E11" i="10"/>
  <c r="C89" i="2"/>
  <c r="C86" i="2" s="1"/>
  <c r="C85" i="2" s="1"/>
  <c r="E89" i="2"/>
  <c r="E86" i="2" s="1"/>
  <c r="B87" i="2"/>
  <c r="D89" i="2"/>
  <c r="D86" i="2" s="1"/>
  <c r="F87" i="2"/>
  <c r="E87" i="2"/>
  <c r="C87" i="2"/>
  <c r="B89" i="2"/>
  <c r="B86" i="2" s="1"/>
  <c r="F89" i="2"/>
  <c r="F86" i="2" s="1"/>
  <c r="D87" i="2"/>
  <c r="F71" i="2"/>
  <c r="F68" i="2" s="1"/>
  <c r="B71" i="2"/>
  <c r="B68" i="2" s="1"/>
  <c r="C69" i="2"/>
  <c r="E71" i="2"/>
  <c r="E68" i="2" s="1"/>
  <c r="F69" i="2"/>
  <c r="B69" i="2"/>
  <c r="D71" i="2"/>
  <c r="D68" i="2" s="1"/>
  <c r="E69" i="2"/>
  <c r="C71" i="2"/>
  <c r="C68" i="2" s="1"/>
  <c r="C67" i="2" s="1"/>
  <c r="D69" i="2"/>
  <c r="C14" i="10"/>
  <c r="C24" i="6"/>
  <c r="D17" i="9"/>
  <c r="G17" i="9" s="1"/>
  <c r="G15" i="11"/>
  <c r="B13" i="11"/>
  <c r="B12" i="11" s="1"/>
  <c r="D9" i="10"/>
  <c r="D12" i="10" s="1"/>
  <c r="C13" i="11" s="1"/>
  <c r="C12" i="11" s="1"/>
  <c r="D33" i="2"/>
  <c r="C31" i="2"/>
  <c r="F30" i="11"/>
  <c r="G20" i="11"/>
  <c r="B18" i="11"/>
  <c r="D30" i="11"/>
  <c r="C30" i="11"/>
  <c r="E30" i="11"/>
  <c r="B30" i="11"/>
  <c r="B29" i="11" s="1"/>
  <c r="D25" i="12" s="1"/>
  <c r="C30" i="6" s="1"/>
  <c r="C37" i="6" s="1"/>
  <c r="E8" i="11"/>
  <c r="G7" i="11"/>
  <c r="B8" i="11"/>
  <c r="B7" i="11" s="1"/>
  <c r="F8" i="11"/>
  <c r="C8" i="11"/>
  <c r="D8" i="11"/>
  <c r="O108" i="9"/>
  <c r="R108" i="9" s="1"/>
  <c r="O90" i="9"/>
  <c r="R90" i="9" s="1"/>
  <c r="P73" i="9"/>
  <c r="S73" i="9" s="1"/>
  <c r="N74" i="9" s="1"/>
  <c r="P16" i="9"/>
  <c r="S16" i="9" s="1"/>
  <c r="N17" i="9" s="1"/>
  <c r="O17" i="9" s="1"/>
  <c r="R17" i="9" s="1"/>
  <c r="D73" i="2" l="1"/>
  <c r="D20" i="10"/>
  <c r="D22" i="10"/>
  <c r="D85" i="2"/>
  <c r="C17" i="10"/>
  <c r="C23" i="10" s="1"/>
  <c r="C25" i="10" s="1"/>
  <c r="B52" i="2"/>
  <c r="C54" i="2"/>
  <c r="D19" i="10"/>
  <c r="D67" i="2"/>
  <c r="F46" i="2"/>
  <c r="G11" i="10" s="1"/>
  <c r="F11" i="10"/>
  <c r="D79" i="2"/>
  <c r="D21" i="10"/>
  <c r="D61" i="2"/>
  <c r="D18" i="10"/>
  <c r="E17" i="9"/>
  <c r="H17" i="9" s="1"/>
  <c r="C11" i="11"/>
  <c r="E12" i="12"/>
  <c r="E9" i="10"/>
  <c r="E12" i="10" s="1"/>
  <c r="D31" i="2"/>
  <c r="E33" i="2"/>
  <c r="D12" i="12"/>
  <c r="B11" i="11"/>
  <c r="C29" i="11"/>
  <c r="E25" i="12" s="1"/>
  <c r="D30" i="6" s="1"/>
  <c r="D37" i="6" s="1"/>
  <c r="C18" i="11"/>
  <c r="B6" i="11"/>
  <c r="D14" i="12"/>
  <c r="P108" i="9"/>
  <c r="S108" i="9" s="1"/>
  <c r="N109" i="9" s="1"/>
  <c r="P90" i="9"/>
  <c r="S90" i="9" s="1"/>
  <c r="N91" i="9" s="1"/>
  <c r="O74" i="9"/>
  <c r="R74" i="9" s="1"/>
  <c r="P17" i="9"/>
  <c r="S17" i="9" s="1"/>
  <c r="N18" i="9" s="1"/>
  <c r="O18" i="9" s="1"/>
  <c r="R18" i="9" s="1"/>
  <c r="C29" i="10" l="1"/>
  <c r="C8" i="6" s="1"/>
  <c r="C14" i="6" s="1"/>
  <c r="C6" i="13"/>
  <c r="E61" i="2"/>
  <c r="E18" i="10"/>
  <c r="D17" i="10"/>
  <c r="D23" i="10" s="1"/>
  <c r="C52" i="2"/>
  <c r="D54" i="2"/>
  <c r="E67" i="2"/>
  <c r="E19" i="10"/>
  <c r="E79" i="2"/>
  <c r="E21" i="10"/>
  <c r="B17" i="11"/>
  <c r="E85" i="2"/>
  <c r="E22" i="10"/>
  <c r="E73" i="2"/>
  <c r="E20" i="10"/>
  <c r="C31" i="10"/>
  <c r="D25" i="6"/>
  <c r="C25" i="6"/>
  <c r="C27" i="6" s="1"/>
  <c r="D17" i="6"/>
  <c r="D16" i="12"/>
  <c r="C19" i="6"/>
  <c r="C18" i="6"/>
  <c r="C18" i="9"/>
  <c r="F19" i="12"/>
  <c r="E31" i="6" s="1"/>
  <c r="D29" i="11"/>
  <c r="F25" i="12" s="1"/>
  <c r="E30" i="6" s="1"/>
  <c r="D18" i="11"/>
  <c r="D13" i="11"/>
  <c r="D12" i="11" s="1"/>
  <c r="F9" i="10"/>
  <c r="F12" i="10" s="1"/>
  <c r="E31" i="2"/>
  <c r="F33" i="2"/>
  <c r="O109" i="9"/>
  <c r="R109" i="9" s="1"/>
  <c r="O91" i="9"/>
  <c r="R91" i="9" s="1"/>
  <c r="P91" i="9"/>
  <c r="S91" i="9" s="1"/>
  <c r="N92" i="9" s="1"/>
  <c r="P74" i="9"/>
  <c r="S74" i="9" s="1"/>
  <c r="N75" i="9" s="1"/>
  <c r="P18" i="9"/>
  <c r="S18" i="9" s="1"/>
  <c r="N19" i="9" s="1"/>
  <c r="O19" i="9" s="1"/>
  <c r="R19" i="9" s="1"/>
  <c r="F73" i="2" l="1"/>
  <c r="G20" i="10" s="1"/>
  <c r="F20" i="10"/>
  <c r="E17" i="10"/>
  <c r="E23" i="10" s="1"/>
  <c r="E54" i="2"/>
  <c r="D52" i="2"/>
  <c r="F18" i="10"/>
  <c r="F61" i="2"/>
  <c r="G18" i="10" s="1"/>
  <c r="F79" i="2"/>
  <c r="G21" i="10" s="1"/>
  <c r="F21" i="10"/>
  <c r="C17" i="11"/>
  <c r="F85" i="2"/>
  <c r="G22" i="10" s="1"/>
  <c r="F22" i="10"/>
  <c r="D17" i="11"/>
  <c r="F24" i="12" s="1"/>
  <c r="B16" i="11"/>
  <c r="D24" i="12"/>
  <c r="F67" i="2"/>
  <c r="G19" i="10" s="1"/>
  <c r="F19" i="10"/>
  <c r="E37" i="6"/>
  <c r="C34" i="10"/>
  <c r="C20" i="6"/>
  <c r="C22" i="6" s="1"/>
  <c r="D26" i="12"/>
  <c r="C7" i="6"/>
  <c r="D18" i="9"/>
  <c r="G18" i="9" s="1"/>
  <c r="D11" i="11"/>
  <c r="F12" i="12"/>
  <c r="E18" i="11"/>
  <c r="E29" i="11"/>
  <c r="G25" i="12" s="1"/>
  <c r="F30" i="6" s="1"/>
  <c r="E13" i="11"/>
  <c r="E12" i="11" s="1"/>
  <c r="F31" i="2"/>
  <c r="G9" i="10"/>
  <c r="G12" i="10" s="1"/>
  <c r="D16" i="11"/>
  <c r="P109" i="9"/>
  <c r="S109" i="9" s="1"/>
  <c r="N110" i="9" s="1"/>
  <c r="O92" i="9"/>
  <c r="R92" i="9" s="1"/>
  <c r="O75" i="9"/>
  <c r="R75" i="9" s="1"/>
  <c r="P75" i="9"/>
  <c r="S75" i="9" s="1"/>
  <c r="N76" i="9" s="1"/>
  <c r="P19" i="9"/>
  <c r="S19" i="9" s="1"/>
  <c r="N20" i="9" s="1"/>
  <c r="O20" i="9" s="1"/>
  <c r="F17" i="10" l="1"/>
  <c r="F23" i="10" s="1"/>
  <c r="F54" i="2"/>
  <c r="E52" i="2"/>
  <c r="C16" i="11"/>
  <c r="E24" i="12"/>
  <c r="D19" i="6" s="1"/>
  <c r="E25" i="6"/>
  <c r="E17" i="6"/>
  <c r="C39" i="6"/>
  <c r="D13" i="12" s="1"/>
  <c r="C4" i="7"/>
  <c r="C7" i="7" s="1"/>
  <c r="C7" i="13"/>
  <c r="C8" i="13" s="1"/>
  <c r="C6" i="6"/>
  <c r="D31" i="12"/>
  <c r="E18" i="9"/>
  <c r="H18" i="9" s="1"/>
  <c r="F18" i="11"/>
  <c r="F13" i="11"/>
  <c r="F12" i="11" s="1"/>
  <c r="F29" i="11"/>
  <c r="H25" i="12" s="1"/>
  <c r="G30" i="6" s="1"/>
  <c r="E11" i="11"/>
  <c r="G12" i="12"/>
  <c r="F25" i="6" s="1"/>
  <c r="O110" i="9"/>
  <c r="R110" i="9" s="1"/>
  <c r="P92" i="9"/>
  <c r="S92" i="9" s="1"/>
  <c r="N93" i="9" s="1"/>
  <c r="O76" i="9"/>
  <c r="R76" i="9" s="1"/>
  <c r="P20" i="9"/>
  <c r="S20" i="9" s="1"/>
  <c r="N21" i="9" s="1"/>
  <c r="R20" i="9"/>
  <c r="C41" i="6" l="1"/>
  <c r="D40" i="6" s="1"/>
  <c r="F52" i="2"/>
  <c r="G17" i="10"/>
  <c r="G23" i="10" s="1"/>
  <c r="E17" i="11"/>
  <c r="E19" i="6"/>
  <c r="F17" i="6"/>
  <c r="E30" i="12"/>
  <c r="D34" i="12"/>
  <c r="D37" i="12" s="1"/>
  <c r="C19" i="9"/>
  <c r="G19" i="12"/>
  <c r="F31" i="6" s="1"/>
  <c r="F37" i="6" s="1"/>
  <c r="H12" i="12"/>
  <c r="G25" i="6" s="1"/>
  <c r="F11" i="11"/>
  <c r="P110" i="9"/>
  <c r="S110" i="9" s="1"/>
  <c r="O93" i="9"/>
  <c r="R93" i="9" s="1"/>
  <c r="P93" i="9"/>
  <c r="S93" i="9" s="1"/>
  <c r="N94" i="9" s="1"/>
  <c r="P76" i="9"/>
  <c r="S76" i="9" s="1"/>
  <c r="N77" i="9" s="1"/>
  <c r="O21" i="9"/>
  <c r="R21" i="9" s="1"/>
  <c r="E16" i="11" l="1"/>
  <c r="G24" i="12"/>
  <c r="F19" i="6" s="1"/>
  <c r="F17" i="11"/>
  <c r="G17" i="6"/>
  <c r="D19" i="9"/>
  <c r="G19" i="9" s="1"/>
  <c r="O94" i="9"/>
  <c r="R94" i="9" s="1"/>
  <c r="O77" i="9"/>
  <c r="R77" i="9" s="1"/>
  <c r="P77" i="9"/>
  <c r="S77" i="9" s="1"/>
  <c r="N78" i="9" s="1"/>
  <c r="P21" i="9"/>
  <c r="S21" i="9" s="1"/>
  <c r="N22" i="9" s="1"/>
  <c r="O22" i="9" s="1"/>
  <c r="R22" i="9" s="1"/>
  <c r="F16" i="11" l="1"/>
  <c r="H24" i="12"/>
  <c r="G19" i="6" s="1"/>
  <c r="E19" i="9"/>
  <c r="H19" i="9" s="1"/>
  <c r="H19" i="12" s="1"/>
  <c r="G31" i="6" s="1"/>
  <c r="G37" i="6" s="1"/>
  <c r="P94" i="9"/>
  <c r="S94" i="9" s="1"/>
  <c r="N95" i="9" s="1"/>
  <c r="O78" i="9"/>
  <c r="R78" i="9" s="1"/>
  <c r="P22" i="9"/>
  <c r="S22" i="9" s="1"/>
  <c r="N23" i="9" s="1"/>
  <c r="O95" i="9" l="1"/>
  <c r="R95" i="9" s="1"/>
  <c r="P95" i="9"/>
  <c r="S95" i="9" s="1"/>
  <c r="N96" i="9" s="1"/>
  <c r="P78" i="9"/>
  <c r="S78" i="9" s="1"/>
  <c r="N79" i="9" s="1"/>
  <c r="O23" i="9"/>
  <c r="R23" i="9" s="1"/>
  <c r="O96" i="9" l="1"/>
  <c r="R96" i="9" s="1"/>
  <c r="O79" i="9"/>
  <c r="R79" i="9" s="1"/>
  <c r="P23" i="9"/>
  <c r="S23" i="9" s="1"/>
  <c r="N24" i="9" s="1"/>
  <c r="O24" i="9" s="1"/>
  <c r="R24" i="9" s="1"/>
  <c r="P96" i="9" l="1"/>
  <c r="S96" i="9" s="1"/>
  <c r="N97" i="9" s="1"/>
  <c r="P79" i="9"/>
  <c r="S79" i="9" s="1"/>
  <c r="N80" i="9" s="1"/>
  <c r="P24" i="9"/>
  <c r="S24" i="9" s="1"/>
  <c r="N25" i="9" s="1"/>
  <c r="O25" i="9" s="1"/>
  <c r="R25" i="9" s="1"/>
  <c r="O97" i="9" l="1"/>
  <c r="R97" i="9" s="1"/>
  <c r="P97" i="9"/>
  <c r="S97" i="9" s="1"/>
  <c r="N98" i="9" s="1"/>
  <c r="O80" i="9"/>
  <c r="R80" i="9" s="1"/>
  <c r="P25" i="9"/>
  <c r="S25" i="9" s="1"/>
  <c r="N26" i="9" s="1"/>
  <c r="O26" i="9" s="1"/>
  <c r="R26" i="9" s="1"/>
  <c r="O98" i="9" l="1"/>
  <c r="R98" i="9" s="1"/>
  <c r="P80" i="9"/>
  <c r="S80" i="9" s="1"/>
  <c r="N81" i="9" s="1"/>
  <c r="P26" i="9"/>
  <c r="S26" i="9" s="1"/>
  <c r="N27" i="9" s="1"/>
  <c r="O27" i="9" s="1"/>
  <c r="P98" i="9" l="1"/>
  <c r="S98" i="9" s="1"/>
  <c r="N99" i="9" s="1"/>
  <c r="O81" i="9"/>
  <c r="R81" i="9" s="1"/>
  <c r="R27" i="9"/>
  <c r="P27" i="9"/>
  <c r="S27" i="9" s="1"/>
  <c r="N28" i="9" s="1"/>
  <c r="O28" i="9" s="1"/>
  <c r="R28" i="9" s="1"/>
  <c r="O99" i="9" l="1"/>
  <c r="R99" i="9" s="1"/>
  <c r="P81" i="9"/>
  <c r="S81" i="9" s="1"/>
  <c r="N82" i="9" s="1"/>
  <c r="P28" i="9"/>
  <c r="S28" i="9" s="1"/>
  <c r="N29" i="9" s="1"/>
  <c r="O29" i="9" s="1"/>
  <c r="R29" i="9" s="1"/>
  <c r="P99" i="9" l="1"/>
  <c r="S99" i="9" s="1"/>
  <c r="N100" i="9" s="1"/>
  <c r="O82" i="9"/>
  <c r="R82" i="9" s="1"/>
  <c r="P29" i="9"/>
  <c r="S29" i="9" s="1"/>
  <c r="N30" i="9" s="1"/>
  <c r="O30" i="9"/>
  <c r="R30" i="9" s="1"/>
  <c r="O100" i="9" l="1"/>
  <c r="R100" i="9" s="1"/>
  <c r="P82" i="9"/>
  <c r="S82" i="9" s="1"/>
  <c r="N83" i="9" s="1"/>
  <c r="P30" i="9"/>
  <c r="S30" i="9" s="1"/>
  <c r="N31" i="9" s="1"/>
  <c r="O31" i="9" s="1"/>
  <c r="R31" i="9" s="1"/>
  <c r="P100" i="9" l="1"/>
  <c r="S100" i="9" s="1"/>
  <c r="N101" i="9" s="1"/>
  <c r="O83" i="9"/>
  <c r="R83" i="9" s="1"/>
  <c r="P83" i="9"/>
  <c r="S83" i="9" s="1"/>
  <c r="N84" i="9" s="1"/>
  <c r="P31" i="9"/>
  <c r="S31" i="9" s="1"/>
  <c r="N32" i="9" s="1"/>
  <c r="O32" i="9" s="1"/>
  <c r="O101" i="9" l="1"/>
  <c r="R101" i="9" s="1"/>
  <c r="O84" i="9"/>
  <c r="R84" i="9" s="1"/>
  <c r="R32" i="9"/>
  <c r="P32" i="9"/>
  <c r="S32" i="9" s="1"/>
  <c r="N33" i="9" s="1"/>
  <c r="O33" i="9"/>
  <c r="R33" i="9" s="1"/>
  <c r="P101" i="9" l="1"/>
  <c r="S101" i="9" s="1"/>
  <c r="N102" i="9" s="1"/>
  <c r="P84" i="9"/>
  <c r="S84" i="9" s="1"/>
  <c r="N85" i="9" s="1"/>
  <c r="P33" i="9"/>
  <c r="S33" i="9" s="1"/>
  <c r="N34" i="9" s="1"/>
  <c r="O34" i="9" s="1"/>
  <c r="R34" i="9" s="1"/>
  <c r="O102" i="9" l="1"/>
  <c r="R102" i="9" s="1"/>
  <c r="O85" i="9"/>
  <c r="R85" i="9" s="1"/>
  <c r="P34" i="9"/>
  <c r="S34" i="9" s="1"/>
  <c r="N35" i="9" s="1"/>
  <c r="P102" i="9" l="1"/>
  <c r="S102" i="9" s="1"/>
  <c r="N103" i="9" s="1"/>
  <c r="P85" i="9"/>
  <c r="S85" i="9" s="1"/>
  <c r="N86" i="9" s="1"/>
  <c r="O35" i="9"/>
  <c r="R35" i="9" s="1"/>
  <c r="P35" i="9"/>
  <c r="S35" i="9" s="1"/>
  <c r="N36" i="9" s="1"/>
  <c r="O103" i="9" l="1"/>
  <c r="R103" i="9" s="1"/>
  <c r="P103" i="9"/>
  <c r="S103" i="9" s="1"/>
  <c r="N104" i="9" s="1"/>
  <c r="O86" i="9"/>
  <c r="R86" i="9" s="1"/>
  <c r="O36" i="9"/>
  <c r="R36" i="9" s="1"/>
  <c r="P36" i="9"/>
  <c r="S36" i="9" s="1"/>
  <c r="N37" i="9" s="1"/>
  <c r="O104" i="9" l="1"/>
  <c r="R104" i="9" s="1"/>
  <c r="P86" i="9"/>
  <c r="S86" i="9" s="1"/>
  <c r="O37" i="9"/>
  <c r="R37" i="9" s="1"/>
  <c r="P104" i="9" l="1"/>
  <c r="S104" i="9" s="1"/>
  <c r="P37" i="9"/>
  <c r="S37" i="9" s="1"/>
  <c r="N38" i="9" s="1"/>
  <c r="O38" i="9" s="1"/>
  <c r="R38" i="9" l="1"/>
  <c r="P38" i="9"/>
  <c r="S38" i="9" s="1"/>
  <c r="N39" i="9" s="1"/>
  <c r="O39" i="9" s="1"/>
  <c r="R39" i="9" s="1"/>
  <c r="P39" i="9" l="1"/>
  <c r="S39" i="9" s="1"/>
  <c r="N40" i="9" s="1"/>
  <c r="O40" i="9" s="1"/>
  <c r="R40" i="9" s="1"/>
  <c r="P40" i="9" l="1"/>
  <c r="S40" i="9" s="1"/>
  <c r="N41" i="9" s="1"/>
  <c r="O41" i="9" l="1"/>
  <c r="R41" i="9" s="1"/>
  <c r="P41" i="9" l="1"/>
  <c r="S41" i="9" s="1"/>
  <c r="N42" i="9" s="1"/>
  <c r="O42" i="9" l="1"/>
  <c r="R42" i="9" s="1"/>
  <c r="P42" i="9" l="1"/>
  <c r="S42" i="9" s="1"/>
  <c r="N43" i="9" s="1"/>
  <c r="O43" i="9" s="1"/>
  <c r="R43" i="9" s="1"/>
  <c r="P43" i="9" l="1"/>
  <c r="S43" i="9" s="1"/>
  <c r="N44" i="9" s="1"/>
  <c r="O44" i="9" s="1"/>
  <c r="R44" i="9" s="1"/>
  <c r="P44" i="9" l="1"/>
  <c r="S44" i="9" s="1"/>
  <c r="N45" i="9" s="1"/>
  <c r="O45" i="9" l="1"/>
  <c r="R45" i="9" s="1"/>
  <c r="P45" i="9" l="1"/>
  <c r="S45" i="9" s="1"/>
  <c r="N46" i="9" s="1"/>
  <c r="O46" i="9" s="1"/>
  <c r="R46" i="9" s="1"/>
  <c r="P46" i="9" l="1"/>
  <c r="S46" i="9" s="1"/>
  <c r="N47" i="9" s="1"/>
  <c r="O47" i="9" s="1"/>
  <c r="R47" i="9" s="1"/>
  <c r="P47" i="9" l="1"/>
  <c r="S47" i="9" s="1"/>
  <c r="N48" i="9" s="1"/>
  <c r="O48" i="9" l="1"/>
  <c r="R48" i="9" s="1"/>
  <c r="P48" i="9"/>
  <c r="S48" i="9" s="1"/>
  <c r="N49" i="9" s="1"/>
  <c r="O49" i="9" l="1"/>
  <c r="R49" i="9" s="1"/>
  <c r="P49" i="9" l="1"/>
  <c r="S49" i="9" s="1"/>
  <c r="N50" i="9" s="1"/>
  <c r="O50" i="9" s="1"/>
  <c r="R50" i="9" s="1"/>
  <c r="P50" i="9" l="1"/>
  <c r="S50" i="9" s="1"/>
  <c r="N51" i="9" s="1"/>
  <c r="O51" i="9" s="1"/>
  <c r="R51" i="9" s="1"/>
  <c r="P51" i="9" l="1"/>
  <c r="S51" i="9" s="1"/>
  <c r="N52" i="9" s="1"/>
  <c r="O52" i="9"/>
  <c r="R52" i="9" s="1"/>
  <c r="P52" i="9" l="1"/>
  <c r="S52" i="9" s="1"/>
  <c r="N53" i="9" s="1"/>
  <c r="O53" i="9" s="1"/>
  <c r="R53" i="9" s="1"/>
  <c r="P53" i="9" l="1"/>
  <c r="S53" i="9" s="1"/>
  <c r="N54" i="9" s="1"/>
  <c r="O54" i="9" s="1"/>
  <c r="R54" i="9" s="1"/>
  <c r="P54" i="9" l="1"/>
  <c r="S54" i="9" s="1"/>
  <c r="N55" i="9" s="1"/>
  <c r="O55" i="9" l="1"/>
  <c r="R55" i="9" s="1"/>
  <c r="P55" i="9" l="1"/>
  <c r="S55" i="9" s="1"/>
  <c r="N56" i="9" s="1"/>
  <c r="O56" i="9" l="1"/>
  <c r="R56" i="9" s="1"/>
  <c r="P56" i="9" l="1"/>
  <c r="S56" i="9" s="1"/>
  <c r="N57" i="9" s="1"/>
  <c r="O57" i="9" l="1"/>
  <c r="R57" i="9" s="1"/>
  <c r="P57" i="9" l="1"/>
  <c r="S57" i="9" s="1"/>
  <c r="N58" i="9" s="1"/>
  <c r="O58" i="9" l="1"/>
  <c r="R58" i="9" s="1"/>
  <c r="P58" i="9" l="1"/>
  <c r="S58" i="9" s="1"/>
  <c r="N59" i="9" s="1"/>
  <c r="O59" i="9" s="1"/>
  <c r="R59" i="9" s="1"/>
  <c r="P59" i="9" l="1"/>
  <c r="S59" i="9" s="1"/>
  <c r="N60" i="9" s="1"/>
  <c r="O60" i="9" s="1"/>
  <c r="R60" i="9" s="1"/>
  <c r="P60" i="9" l="1"/>
  <c r="S60" i="9" s="1"/>
  <c r="N61" i="9" s="1"/>
  <c r="O61" i="9" s="1"/>
  <c r="R61" i="9" s="1"/>
  <c r="P61" i="9" l="1"/>
  <c r="S61" i="9" s="1"/>
  <c r="N62" i="9" s="1"/>
  <c r="O62" i="9" s="1"/>
  <c r="R62" i="9" s="1"/>
  <c r="P62" i="9" l="1"/>
  <c r="S62" i="9" s="1"/>
  <c r="N63" i="9" s="1"/>
  <c r="O63" i="9" l="1"/>
  <c r="R63" i="9" s="1"/>
  <c r="P63" i="9"/>
  <c r="S63" i="9" s="1"/>
  <c r="N64" i="9" s="1"/>
  <c r="O64" i="9" l="1"/>
  <c r="R64" i="9" s="1"/>
  <c r="P64" i="9" l="1"/>
  <c r="S64" i="9" s="1"/>
  <c r="N65" i="9" s="1"/>
  <c r="O65" i="9" s="1"/>
  <c r="R65" i="9" s="1"/>
  <c r="P65" i="9" l="1"/>
  <c r="S65" i="9" s="1"/>
  <c r="N66" i="9" s="1"/>
  <c r="O66" i="9" l="1"/>
  <c r="R66" i="9" s="1"/>
  <c r="P66" i="9" l="1"/>
  <c r="S66" i="9" s="1"/>
  <c r="N67" i="9" s="1"/>
  <c r="O67" i="9" l="1"/>
  <c r="R67" i="9" s="1"/>
  <c r="P67" i="9" l="1"/>
  <c r="S67" i="9" s="1"/>
  <c r="N68" i="9" s="1"/>
  <c r="O68" i="9" s="1"/>
  <c r="R68" i="9" l="1"/>
  <c r="P68" i="9"/>
  <c r="S68" i="9" s="1"/>
  <c r="N69" i="9" s="1"/>
  <c r="O69" i="9" s="1"/>
  <c r="R69" i="9" s="1"/>
  <c r="P69" i="9" l="1"/>
  <c r="S69" i="9" s="1"/>
  <c r="N70" i="9" s="1"/>
  <c r="O70" i="9" s="1"/>
  <c r="R70" i="9" s="1"/>
  <c r="P70" i="9" l="1"/>
  <c r="S70" i="9" s="1"/>
  <c r="D13" i="2"/>
  <c r="E13" i="2"/>
  <c r="B13" i="2"/>
  <c r="F13" i="2"/>
  <c r="C13" i="2"/>
  <c r="C12" i="2" s="1"/>
  <c r="D4" i="10" s="1"/>
  <c r="D7" i="10" s="1"/>
  <c r="D5" i="13" l="1"/>
  <c r="C22" i="11"/>
  <c r="C21" i="11" s="1"/>
  <c r="E8" i="12" s="1"/>
  <c r="C26" i="11"/>
  <c r="C25" i="11" s="1"/>
  <c r="E7" i="12" s="1"/>
  <c r="C7" i="11"/>
  <c r="D14" i="10"/>
  <c r="D25" i="10" s="1"/>
  <c r="C10" i="2"/>
  <c r="D12" i="2"/>
  <c r="E4" i="10" s="1"/>
  <c r="E7" i="10" s="1"/>
  <c r="C6" i="11" l="1"/>
  <c r="E14" i="12"/>
  <c r="D24" i="6"/>
  <c r="D27" i="6" s="1"/>
  <c r="E16" i="12"/>
  <c r="E5" i="13"/>
  <c r="D22" i="11"/>
  <c r="D21" i="11" s="1"/>
  <c r="F8" i="12" s="1"/>
  <c r="D26" i="11"/>
  <c r="D25" i="11" s="1"/>
  <c r="F7" i="12" s="1"/>
  <c r="D7" i="11"/>
  <c r="E14" i="10"/>
  <c r="E25" i="10" s="1"/>
  <c r="D29" i="10"/>
  <c r="D6" i="13"/>
  <c r="E12" i="2"/>
  <c r="F4" i="10" s="1"/>
  <c r="F7" i="10" s="1"/>
  <c r="D10" i="2"/>
  <c r="E24" i="6" l="1"/>
  <c r="E27" i="6" s="1"/>
  <c r="D31" i="10"/>
  <c r="D34" i="10" s="1"/>
  <c r="D8" i="6"/>
  <c r="D14" i="6" s="1"/>
  <c r="E29" i="10"/>
  <c r="E6" i="13"/>
  <c r="D18" i="6"/>
  <c r="F5" i="13"/>
  <c r="E22" i="11"/>
  <c r="E21" i="11" s="1"/>
  <c r="G8" i="12" s="1"/>
  <c r="E26" i="11"/>
  <c r="E25" i="11" s="1"/>
  <c r="G7" i="12" s="1"/>
  <c r="E7" i="11"/>
  <c r="F14" i="10"/>
  <c r="F25" i="10" s="1"/>
  <c r="D6" i="11"/>
  <c r="F14" i="12"/>
  <c r="F16" i="12" s="1"/>
  <c r="F12" i="2"/>
  <c r="E10" i="2"/>
  <c r="F20" i="5"/>
  <c r="D20" i="6" l="1"/>
  <c r="D7" i="6"/>
  <c r="E26" i="12"/>
  <c r="F29" i="10"/>
  <c r="F6" i="13"/>
  <c r="E8" i="6"/>
  <c r="E14" i="6" s="1"/>
  <c r="E31" i="10"/>
  <c r="E34" i="10" s="1"/>
  <c r="F10" i="2"/>
  <c r="G4" i="10"/>
  <c r="G7" i="10" s="1"/>
  <c r="G14" i="12"/>
  <c r="F18" i="6" s="1"/>
  <c r="E6" i="11"/>
  <c r="D7" i="13"/>
  <c r="D8" i="13" s="1"/>
  <c r="D6" i="6"/>
  <c r="E31" i="12"/>
  <c r="G16" i="12"/>
  <c r="E18" i="6"/>
  <c r="D22" i="6"/>
  <c r="F24" i="6"/>
  <c r="F27" i="6" s="1"/>
  <c r="E7" i="13" l="1"/>
  <c r="E8" i="13" s="1"/>
  <c r="F31" i="12"/>
  <c r="F34" i="12" s="1"/>
  <c r="F37" i="12" s="1"/>
  <c r="E6" i="6"/>
  <c r="D39" i="6"/>
  <c r="D4" i="7"/>
  <c r="D5" i="7" s="1"/>
  <c r="F8" i="6"/>
  <c r="F14" i="6" s="1"/>
  <c r="F31" i="10"/>
  <c r="F34" i="10" s="1"/>
  <c r="E34" i="12"/>
  <c r="E37" i="12" s="1"/>
  <c r="F30" i="12"/>
  <c r="G30" i="12" s="1"/>
  <c r="E20" i="6"/>
  <c r="F26" i="12"/>
  <c r="E7" i="6"/>
  <c r="G5" i="13"/>
  <c r="F22" i="11"/>
  <c r="F21" i="11" s="1"/>
  <c r="H8" i="12" s="1"/>
  <c r="F26" i="11"/>
  <c r="F25" i="11" s="1"/>
  <c r="H7" i="12" s="1"/>
  <c r="F7" i="11"/>
  <c r="G14" i="10"/>
  <c r="G25" i="10" s="1"/>
  <c r="E22" i="6"/>
  <c r="E13" i="12" l="1"/>
  <c r="D41" i="6"/>
  <c r="E40" i="6" s="1"/>
  <c r="G29" i="10"/>
  <c r="G6" i="13"/>
  <c r="F7" i="6"/>
  <c r="F20" i="6"/>
  <c r="G26" i="12"/>
  <c r="F22" i="6"/>
  <c r="H14" i="12"/>
  <c r="G18" i="6" s="1"/>
  <c r="F6" i="11"/>
  <c r="G24" i="6"/>
  <c r="G27" i="6" s="1"/>
  <c r="D7" i="7"/>
  <c r="E39" i="6"/>
  <c r="E41" i="6" s="1"/>
  <c r="F40" i="6" s="1"/>
  <c r="E4" i="7"/>
  <c r="F7" i="13"/>
  <c r="F8" i="13" s="1"/>
  <c r="F6" i="6"/>
  <c r="G31" i="12"/>
  <c r="F13" i="12" l="1"/>
  <c r="E5" i="7"/>
  <c r="E7" i="7"/>
  <c r="F4" i="7"/>
  <c r="F39" i="6"/>
  <c r="F41" i="6" s="1"/>
  <c r="G40" i="6" s="1"/>
  <c r="G34" i="12"/>
  <c r="G37" i="12" s="1"/>
  <c r="H30" i="12"/>
  <c r="H16" i="12"/>
  <c r="G31" i="10"/>
  <c r="G34" i="10" s="1"/>
  <c r="G8" i="6"/>
  <c r="G14" i="6" s="1"/>
  <c r="G13" i="12" l="1"/>
  <c r="F5" i="7"/>
  <c r="F7" i="7"/>
  <c r="H31" i="12"/>
  <c r="H34" i="12" s="1"/>
  <c r="H37" i="12" s="1"/>
  <c r="G7" i="13"/>
  <c r="G8" i="13" s="1"/>
  <c r="G6" i="6"/>
  <c r="H26" i="12"/>
  <c r="G7" i="6"/>
  <c r="G20" i="6"/>
  <c r="G22" i="6" s="1"/>
  <c r="G4" i="7" l="1"/>
  <c r="G39" i="6"/>
  <c r="G41" i="6" l="1"/>
  <c r="H13" i="12"/>
  <c r="G5" i="7"/>
  <c r="G7" i="7"/>
  <c r="C13" i="7" l="1"/>
  <c r="C12" i="7"/>
  <c r="C14" i="7" l="1"/>
  <c r="D12" i="7" s="1"/>
  <c r="E3" i="14" s="1"/>
  <c r="D3" i="14"/>
  <c r="D4" i="14"/>
  <c r="D13" i="7" l="1"/>
  <c r="E4" i="14" s="1"/>
  <c r="D5" i="14"/>
  <c r="C17" i="7"/>
  <c r="F13" i="7" l="1"/>
  <c r="C21" i="7"/>
</calcChain>
</file>

<file path=xl/sharedStrings.xml><?xml version="1.0" encoding="utf-8"?>
<sst xmlns="http://schemas.openxmlformats.org/spreadsheetml/2006/main" count="279" uniqueCount="151">
  <si>
    <t>Financial Modelling</t>
  </si>
  <si>
    <t>TABLE OF CONTENTS</t>
  </si>
  <si>
    <t>REVENUE</t>
  </si>
  <si>
    <t>food delivery</t>
  </si>
  <si>
    <t>delivery fee</t>
  </si>
  <si>
    <t>no of orders</t>
  </si>
  <si>
    <t>total revenue</t>
  </si>
  <si>
    <t>advertisemnt</t>
  </si>
  <si>
    <t>ecommerce</t>
  </si>
  <si>
    <t>price per order</t>
  </si>
  <si>
    <t>cost of orders</t>
  </si>
  <si>
    <t>cost of resturaunts</t>
  </si>
  <si>
    <t>cost of advertisment</t>
  </si>
  <si>
    <t>FIXED COST</t>
  </si>
  <si>
    <t>VARIABLE COST</t>
  </si>
  <si>
    <t>PLATFORM</t>
  </si>
  <si>
    <t>RENTAL</t>
  </si>
  <si>
    <t>EMPLOYEE COST</t>
  </si>
  <si>
    <t>LEGAL EXPENSE</t>
  </si>
  <si>
    <t>OFFICE EXPENSE</t>
  </si>
  <si>
    <t>MISC EXPENSE</t>
  </si>
  <si>
    <t>TOTAL FIXED COST</t>
  </si>
  <si>
    <t>INTEREST COST</t>
  </si>
  <si>
    <t>TAX EXPENSE</t>
  </si>
  <si>
    <t>loan ammortiztion schedule / debt calcuator</t>
  </si>
  <si>
    <t>loan ammount</t>
  </si>
  <si>
    <t>year</t>
  </si>
  <si>
    <t xml:space="preserve">interst rate </t>
  </si>
  <si>
    <t>date of loan</t>
  </si>
  <si>
    <t>date of repay</t>
  </si>
  <si>
    <t>yaerly installment</t>
  </si>
  <si>
    <t>present value</t>
  </si>
  <si>
    <t>interest</t>
  </si>
  <si>
    <t>subtotal</t>
  </si>
  <si>
    <t>principle</t>
  </si>
  <si>
    <t>closing amount at 31-dec</t>
  </si>
  <si>
    <t>installmet</t>
  </si>
  <si>
    <t>month</t>
  </si>
  <si>
    <t>monhtly interest</t>
  </si>
  <si>
    <t xml:space="preserve">closing amount </t>
  </si>
  <si>
    <t>CHECK MONTHLY</t>
  </si>
  <si>
    <t>COST OF REVENUE</t>
  </si>
  <si>
    <t>GROSS PROFIT</t>
  </si>
  <si>
    <t>PROFIT BEFORE INTERST AND TAX</t>
  </si>
  <si>
    <t>PROFIT BEFORE TAX</t>
  </si>
  <si>
    <t>TAX</t>
  </si>
  <si>
    <t>PROFIT AND LOSS ACCOUNT</t>
  </si>
  <si>
    <t>ASSETS</t>
  </si>
  <si>
    <t>Non Current Assets</t>
  </si>
  <si>
    <t>Non Current liabilities</t>
  </si>
  <si>
    <t>Current liabilities</t>
  </si>
  <si>
    <t>Equity</t>
  </si>
  <si>
    <t>propert plant and equipment</t>
  </si>
  <si>
    <t>Tangible assets</t>
  </si>
  <si>
    <t>inventory</t>
  </si>
  <si>
    <t xml:space="preserve">cash balance </t>
  </si>
  <si>
    <t>trade recievables</t>
  </si>
  <si>
    <t>trade payable</t>
  </si>
  <si>
    <t>note payable</t>
  </si>
  <si>
    <t>long term loan</t>
  </si>
  <si>
    <t>share capital</t>
  </si>
  <si>
    <t>retiained earnig</t>
  </si>
  <si>
    <t>current year profit</t>
  </si>
  <si>
    <t>less : dividend</t>
  </si>
  <si>
    <t>Total Assets</t>
  </si>
  <si>
    <t>Total Equity and Liabilities</t>
  </si>
  <si>
    <t>balance sheet</t>
  </si>
  <si>
    <t>CASE 1</t>
  </si>
  <si>
    <t>CASE 2</t>
  </si>
  <si>
    <t>CASE 3</t>
  </si>
  <si>
    <t>YEARS</t>
  </si>
  <si>
    <t>COST OF SALE</t>
  </si>
  <si>
    <t>YEARLY GROWTH</t>
  </si>
  <si>
    <t>best case scenario</t>
  </si>
  <si>
    <t>base case scenario</t>
  </si>
  <si>
    <t>worst case scenerio</t>
  </si>
  <si>
    <t>SCENARiO</t>
  </si>
  <si>
    <t>ratio to revenue</t>
  </si>
  <si>
    <t>yearly growth</t>
  </si>
  <si>
    <t xml:space="preserve">R-stream 1 </t>
  </si>
  <si>
    <t>R-stream 2</t>
  </si>
  <si>
    <t>R-stream 3</t>
  </si>
  <si>
    <t xml:space="preserve">C-stream 1 </t>
  </si>
  <si>
    <t>C-stream 2</t>
  </si>
  <si>
    <t>C-stream 3</t>
  </si>
  <si>
    <t>PROFIT AND LOSS STATEMENT</t>
  </si>
  <si>
    <t>TRADE RECIEVEBLE</t>
  </si>
  <si>
    <t>TRADERECIEVALBE DAYS</t>
  </si>
  <si>
    <t>BALANCE SHEET ASSUMPTIONS</t>
  </si>
  <si>
    <t>TRADE RECIEVABLS/REVENUE *365</t>
  </si>
  <si>
    <t>NO OF DAYS</t>
  </si>
  <si>
    <t>INVENTORY/COST OF SALE *365</t>
  </si>
  <si>
    <t>INVENTORY</t>
  </si>
  <si>
    <t>TRADE PAYABLE</t>
  </si>
  <si>
    <t>TANGIBLES</t>
  </si>
  <si>
    <t>PROPERT PLANT AND EQUIPMENT</t>
  </si>
  <si>
    <t>% OF REVENUE</t>
  </si>
  <si>
    <t>NOTES PAYABLES</t>
  </si>
  <si>
    <t>% OF COST OF SALE</t>
  </si>
  <si>
    <t>TOTAL ASSETS</t>
  </si>
  <si>
    <t>OPERATING TAX</t>
  </si>
  <si>
    <t>NET PROFIT</t>
  </si>
  <si>
    <t xml:space="preserve">LESS: </t>
  </si>
  <si>
    <t>DEPRECIATION</t>
  </si>
  <si>
    <t>AMMORTIZATIONS</t>
  </si>
  <si>
    <t>TADE RECIEVALE</t>
  </si>
  <si>
    <t>TRADE PAYABLES</t>
  </si>
  <si>
    <t>% TO RIDER</t>
  </si>
  <si>
    <t>% TO resturaunts</t>
  </si>
  <si>
    <t>CASHLOW FROM OPERATION</t>
  </si>
  <si>
    <t>CHANGE IN PPE</t>
  </si>
  <si>
    <t>ICHANGE IN INVENTORY</t>
  </si>
  <si>
    <t>CASHFLOW FROM ONVESTING</t>
  </si>
  <si>
    <t>NOTE PAYABLE</t>
  </si>
  <si>
    <t>LONG TERM LOAN</t>
  </si>
  <si>
    <t xml:space="preserve">CHANGE IN CAPITAL </t>
  </si>
  <si>
    <t>DIVIDEND</t>
  </si>
  <si>
    <t>INTERST EXPENSE</t>
  </si>
  <si>
    <t>CASHFLOW FROM FINANCING ACTIVTIES</t>
  </si>
  <si>
    <t>NET CASHFLOW</t>
  </si>
  <si>
    <t>OPENING CASH BALANCE</t>
  </si>
  <si>
    <t>CLOSING CASH BALANCE</t>
  </si>
  <si>
    <t>TAX PAID</t>
  </si>
  <si>
    <t>INCOME TAX PAYABLE</t>
  </si>
  <si>
    <t>REPAYMENT OF LOAN</t>
  </si>
  <si>
    <t>EARNING BEFORE TAX</t>
  </si>
  <si>
    <t>PRESENT VALUE OF CASHFLOW</t>
  </si>
  <si>
    <t>WACC @ 10%</t>
  </si>
  <si>
    <t>PV OF CASHFLOW</t>
  </si>
  <si>
    <t>DISCOUNTED CASHFLOW VALUATION</t>
  </si>
  <si>
    <t>TERMINAL VALUA</t>
  </si>
  <si>
    <t>ENTERPRISE VALUA</t>
  </si>
  <si>
    <t>LESS DEBT</t>
  </si>
  <si>
    <t>ADD CASH INJECT</t>
  </si>
  <si>
    <t>EQUITY VALUE</t>
  </si>
  <si>
    <t>SHARES</t>
  </si>
  <si>
    <t>MARKET VALUE OF SHARES</t>
  </si>
  <si>
    <t>sensitvity analysis</t>
  </si>
  <si>
    <t>wacc</t>
  </si>
  <si>
    <t>growth rate</t>
  </si>
  <si>
    <t>CASH FLOW</t>
  </si>
  <si>
    <t>WACC</t>
  </si>
  <si>
    <t>GROWTH</t>
  </si>
  <si>
    <t>revenue</t>
  </si>
  <si>
    <t>EBITDA</t>
  </si>
  <si>
    <t>NET PROFIT %</t>
  </si>
  <si>
    <t>BEST CASE</t>
  </si>
  <si>
    <t>$</t>
  </si>
  <si>
    <t>%</t>
  </si>
  <si>
    <t>BASE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</si>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</sst>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&quot;$&quot;#,##0.00"/>
    <numFmt numFmtId="169" formatCode="0.000%"/>
    <numFmt numFmtId="170" formatCode="[$-F800]dddd\,\ mmmm\ dd\,\ yyyy"/>
    <numFmt numFmtId="171" formatCode="&quot;$&quot;#,##0"/>
    <numFmt numFmtId="172" formatCode="_([$PKR]\ * #,##0_);_([$PKR]\ * \(#,##0\);_([$PKR]\ * &quot;-&quot;??_);_(@_)"/>
    <numFmt numFmtId="173" formatCode="_([$PKR]\ * #,##0.00_);_([$PKR]\ * \(#,##0.00\);_([$PKR]\ * &quot;-&quot;??_);_(@_)"/>
    <numFmt numFmtId="174" formatCode="#,,&quot;MILLION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167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2" applyNumberFormat="1" applyFont="1"/>
    <xf numFmtId="167" fontId="0" fillId="0" borderId="0" xfId="1" applyNumberFormat="1" applyFont="1"/>
    <xf numFmtId="167" fontId="0" fillId="0" borderId="1" xfId="0" applyNumberFormat="1" applyBorder="1"/>
    <xf numFmtId="167" fontId="0" fillId="0" borderId="1" xfId="1" applyNumberFormat="1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0" xfId="0" applyFont="1"/>
    <xf numFmtId="168" fontId="0" fillId="0" borderId="0" xfId="0" applyNumberFormat="1"/>
    <xf numFmtId="0" fontId="6" fillId="3" borderId="2" xfId="0" applyFont="1" applyFill="1" applyBorder="1" applyAlignment="1">
      <alignment horizontal="center"/>
    </xf>
    <xf numFmtId="0" fontId="0" fillId="0" borderId="2" xfId="0" applyBorder="1"/>
    <xf numFmtId="168" fontId="0" fillId="0" borderId="2" xfId="0" applyNumberFormat="1" applyBorder="1"/>
    <xf numFmtId="9" fontId="0" fillId="0" borderId="2" xfId="0" applyNumberFormat="1" applyBorder="1"/>
    <xf numFmtId="164" fontId="0" fillId="0" borderId="2" xfId="0" applyNumberFormat="1" applyBorder="1"/>
    <xf numFmtId="15" fontId="0" fillId="0" borderId="2" xfId="0" applyNumberFormat="1" applyBorder="1"/>
    <xf numFmtId="169" fontId="0" fillId="0" borderId="2" xfId="0" applyNumberFormat="1" applyBorder="1"/>
    <xf numFmtId="17" fontId="0" fillId="0" borderId="2" xfId="0" applyNumberFormat="1" applyBorder="1"/>
    <xf numFmtId="171" fontId="0" fillId="0" borderId="2" xfId="0" applyNumberFormat="1" applyBorder="1"/>
    <xf numFmtId="172" fontId="0" fillId="0" borderId="0" xfId="0" applyNumberFormat="1"/>
    <xf numFmtId="172" fontId="0" fillId="0" borderId="4" xfId="0" applyNumberFormat="1" applyBorder="1"/>
    <xf numFmtId="172" fontId="0" fillId="0" borderId="3" xfId="0" applyNumberFormat="1" applyBorder="1"/>
    <xf numFmtId="172" fontId="0" fillId="0" borderId="1" xfId="0" applyNumberFormat="1" applyBorder="1"/>
    <xf numFmtId="0" fontId="5" fillId="0" borderId="0" xfId="0" applyFont="1"/>
    <xf numFmtId="0" fontId="2" fillId="0" borderId="0" xfId="0" applyFont="1"/>
    <xf numFmtId="165" fontId="2" fillId="0" borderId="0" xfId="0" applyNumberFormat="1" applyFont="1"/>
    <xf numFmtId="173" fontId="0" fillId="0" borderId="0" xfId="0" applyNumberFormat="1"/>
    <xf numFmtId="173" fontId="5" fillId="0" borderId="0" xfId="0" applyNumberFormat="1" applyFont="1"/>
    <xf numFmtId="173" fontId="2" fillId="0" borderId="0" xfId="0" applyNumberFormat="1" applyFont="1"/>
    <xf numFmtId="173" fontId="2" fillId="0" borderId="5" xfId="0" applyNumberFormat="1" applyFont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165" fontId="0" fillId="0" borderId="0" xfId="0" applyNumberFormat="1"/>
    <xf numFmtId="9" fontId="9" fillId="0" borderId="0" xfId="2" applyFont="1" applyFill="1" applyAlignment="1">
      <alignment horizontal="left" vertical="top"/>
    </xf>
    <xf numFmtId="9" fontId="9" fillId="0" borderId="0" xfId="2" applyFont="1" applyFill="1" applyAlignment="1">
      <alignment horizontal="center"/>
    </xf>
    <xf numFmtId="10" fontId="0" fillId="0" borderId="0" xfId="2" applyNumberFormat="1" applyFont="1"/>
    <xf numFmtId="0" fontId="9" fillId="0" borderId="2" xfId="0" applyFont="1" applyBorder="1" applyAlignment="1">
      <alignment horizontal="center"/>
    </xf>
    <xf numFmtId="10" fontId="0" fillId="5" borderId="0" xfId="2" applyNumberFormat="1" applyFont="1" applyFill="1"/>
    <xf numFmtId="10" fontId="0" fillId="6" borderId="0" xfId="2" applyNumberFormat="1" applyFont="1" applyFill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2" fontId="2" fillId="0" borderId="0" xfId="0" applyNumberFormat="1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/>
    </xf>
    <xf numFmtId="10" fontId="1" fillId="0" borderId="0" xfId="2" applyNumberFormat="1" applyFont="1"/>
    <xf numFmtId="2" fontId="0" fillId="0" borderId="0" xfId="0" applyNumberFormat="1"/>
    <xf numFmtId="0" fontId="6" fillId="6" borderId="0" xfId="0" applyFont="1" applyFill="1" applyAlignment="1">
      <alignment horizontal="center"/>
    </xf>
    <xf numFmtId="165" fontId="2" fillId="0" borderId="3" xfId="0" applyNumberFormat="1" applyFont="1" applyBorder="1"/>
    <xf numFmtId="165" fontId="5" fillId="0" borderId="3" xfId="0" applyNumberFormat="1" applyFont="1" applyBorder="1"/>
    <xf numFmtId="165" fontId="5" fillId="0" borderId="1" xfId="0" applyNumberFormat="1" applyFont="1" applyBorder="1"/>
    <xf numFmtId="165" fontId="5" fillId="0" borderId="0" xfId="0" applyNumberFormat="1" applyFont="1"/>
    <xf numFmtId="0" fontId="0" fillId="0" borderId="0" xfId="0" applyAlignment="1">
      <alignment horizontal="right"/>
    </xf>
    <xf numFmtId="2" fontId="0" fillId="0" borderId="0" xfId="2" applyNumberFormat="1" applyFont="1"/>
    <xf numFmtId="0" fontId="0" fillId="0" borderId="0" xfId="0" applyAlignment="1">
      <alignment wrapText="1"/>
    </xf>
    <xf numFmtId="165" fontId="0" fillId="0" borderId="2" xfId="0" applyNumberFormat="1" applyBorder="1"/>
    <xf numFmtId="174" fontId="0" fillId="0" borderId="0" xfId="0" applyNumberFormat="1"/>
    <xf numFmtId="0" fontId="0" fillId="8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173" fontId="0" fillId="0" borderId="0" xfId="0" applyNumberFormat="1" applyAlignment="1">
      <alignment horizontal="left" indent="2"/>
    </xf>
    <xf numFmtId="0" fontId="0" fillId="0" borderId="0" xfId="0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70" fontId="0" fillId="0" borderId="2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6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C-453E-B233-62E5A2F3F418}"/>
              </c:ext>
            </c:extLst>
          </c:dPt>
          <c:dPt>
            <c:idx val="1"/>
            <c:bubble3D val="0"/>
            <c:explosion val="14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CEC-453E-B233-62E5A2F3F4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'DCF RESULTS'!$G$3:$G$4</c:f>
              <c:strCache>
                <c:ptCount val="2"/>
                <c:pt idx="0">
                  <c:v>PV OF CASHFLOW</c:v>
                </c:pt>
                <c:pt idx="1">
                  <c:v>TERMINAL VALUA</c:v>
                </c:pt>
              </c:strCache>
            </c:strRef>
          </c:cat>
          <c:val>
            <c:numRef>
              <c:f>'DCF RESULTS'!$J$3:$J$4</c:f>
              <c:numCache>
                <c:formatCode>0%</c:formatCode>
                <c:ptCount val="2"/>
                <c:pt idx="0">
                  <c:v>0.21583511325442925</c:v>
                </c:pt>
                <c:pt idx="1">
                  <c:v>0.78416488674557072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C-453E-B233-62E5A2F3F41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88-4DB6-82DC-C058DB6FB488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88-4DB6-82DC-C058DB6FB4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'DCF RESULTS'!$L$3:$L$4</c:f>
              <c:strCache>
                <c:ptCount val="2"/>
                <c:pt idx="0">
                  <c:v>PV OF CASHFLOW</c:v>
                </c:pt>
                <c:pt idx="1">
                  <c:v>TERMINAL VALUA</c:v>
                </c:pt>
              </c:strCache>
            </c:strRef>
          </c:cat>
          <c:val>
            <c:numRef>
              <c:f>'DCF RESULTS'!$O$3:$O$4</c:f>
              <c:numCache>
                <c:formatCode>0%</c:formatCode>
                <c:ptCount val="2"/>
                <c:pt idx="0">
                  <c:v>0.14029796365103059</c:v>
                </c:pt>
                <c:pt idx="1">
                  <c:v>0.85970203634896936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6-4B21-80C6-A77B80E8AE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4759405074365"/>
          <c:y val="0.17171296296296298"/>
          <c:w val="0.70217147856517936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CHARTS!$C$4:$G$4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5-4B0B-9B72-15522ADBBAB5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CHARTS!$B$5:$G$5</c:f>
              <c:numCache>
                <c:formatCode>#,,"MILLION"</c:formatCode>
                <c:ptCount val="6"/>
                <c:pt idx="1">
                  <c:v>110000001</c:v>
                </c:pt>
                <c:pt idx="2">
                  <c:v>126500002</c:v>
                </c:pt>
                <c:pt idx="3">
                  <c:v>145475002.99999997</c:v>
                </c:pt>
                <c:pt idx="4">
                  <c:v>167296253.99999994</c:v>
                </c:pt>
                <c:pt idx="5">
                  <c:v>192390692.49999991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5-4B0B-9B72-15522ADBB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821183"/>
        <c:axId val="614467919"/>
      </c:barChart>
      <c:lineChart>
        <c:grouping val="standard"/>
        <c:varyColors val="0"/>
        <c:ser>
          <c:idx val="2"/>
          <c:order val="2"/>
          <c:tx>
            <c:strRef>
              <c:f>CHARTS!$A$6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CHARTS!$B$6:$G$6</c:f>
              <c:numCache>
                <c:formatCode>#,,"MILLION"</c:formatCode>
                <c:ptCount val="6"/>
                <c:pt idx="1">
                  <c:v>32500001</c:v>
                </c:pt>
                <c:pt idx="2">
                  <c:v>47086933.81818182</c:v>
                </c:pt>
                <c:pt idx="3">
                  <c:v>62871437.49896691</c:v>
                </c:pt>
                <c:pt idx="4">
                  <c:v>80170664.486212611</c:v>
                </c:pt>
                <c:pt idx="5">
                  <c:v>99329174.502060771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35-4B0B-9B72-15522ADBBAB5}"/>
            </c:ext>
          </c:extLst>
        </c:ser>
        <c:ser>
          <c:idx val="3"/>
          <c:order val="3"/>
          <c:tx>
            <c:strRef>
              <c:f>CHARTS!$A$8</c:f>
              <c:strCache>
                <c:ptCount val="1"/>
                <c:pt idx="0">
                  <c:v>NET PROFIT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CHARTS!$B$8:$G$8</c:f>
              <c:numCache>
                <c:formatCode>0.00%</c:formatCode>
                <c:ptCount val="6"/>
                <c:pt idx="1">
                  <c:v>0.21235454997859501</c:v>
                </c:pt>
                <c:pt idx="2">
                  <c:v>0.26615971536793642</c:v>
                </c:pt>
                <c:pt idx="3">
                  <c:v>0.3081287567096358</c:v>
                </c:pt>
                <c:pt idx="4">
                  <c:v>0.34101896627861544</c:v>
                </c:pt>
                <c:pt idx="5">
                  <c:v>0.3672409345510147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35-4B0B-9B72-15522ADBB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813583"/>
        <c:axId val="614465839"/>
      </c:lineChart>
      <c:catAx>
        <c:axId val="61982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67919"/>
        <c:crosses val="autoZero"/>
        <c:auto val="1"/>
        <c:lblAlgn val="ctr"/>
        <c:lblOffset val="100"/>
        <c:noMultiLvlLbl val="0"/>
      </c:catAx>
      <c:valAx>
        <c:axId val="6144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21183"/>
        <c:crosses val="autoZero"/>
        <c:crossBetween val="between"/>
      </c:valAx>
      <c:valAx>
        <c:axId val="6144658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13583"/>
        <c:crosses val="max"/>
        <c:crossBetween val="between"/>
      </c:valAx>
      <c:catAx>
        <c:axId val="619813583"/>
        <c:scaling>
          <c:orientation val="minMax"/>
        </c:scaling>
        <c:delete val="1"/>
        <c:axPos val="b"/>
        <c:majorTickMark val="out"/>
        <c:minorTickMark val="none"/>
        <c:tickLblPos val="nextTo"/>
        <c:crossAx val="6144658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8738D869-DC19-4127-8968-5018201A3FE8}">
          <cx:dataLabels pos="ctr">
            <cx:visibility seriesName="0" categoryName="0" value="1"/>
            <cx:separator>, </cx:separator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5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6</xdr:row>
      <xdr:rowOff>4761</xdr:rowOff>
    </xdr:from>
    <xdr:to>
      <xdr:col>5</xdr:col>
      <xdr:colOff>38100</xdr:colOff>
      <xdr:row>21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1B1159-A06C-48A6-84E3-7CD1703B04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362" y="1147761"/>
              <a:ext cx="3062288" cy="3033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552450</xdr:colOff>
      <xdr:row>6</xdr:row>
      <xdr:rowOff>14287</xdr:rowOff>
    </xdr:from>
    <xdr:to>
      <xdr:col>10</xdr:col>
      <xdr:colOff>19050</xdr:colOff>
      <xdr:row>21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FEB626-1AF5-4703-AD05-722085F27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6</xdr:row>
      <xdr:rowOff>52386</xdr:rowOff>
    </xdr:from>
    <xdr:to>
      <xdr:col>15</xdr:col>
      <xdr:colOff>19050</xdr:colOff>
      <xdr:row>22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B1AF2B-B8CE-4054-9EA9-BFCA5AC4F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157162</xdr:rowOff>
    </xdr:from>
    <xdr:to>
      <xdr:col>14</xdr:col>
      <xdr:colOff>571500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8FB8C5-B6C7-48C4-94C4-E06DF1974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showGridLines="0" workbookViewId="0">
      <selection activeCell="B2" sqref="B2:E2"/>
    </sheetView>
  </sheetViews>
  <sheetFormatPr defaultRowHeight="15" x14ac:dyDescent="0.25"/>
  <cols>
    <col min="1" max="1" width="1.5703125" customWidth="1"/>
    <col min="5" max="5" width="10.5703125" customWidth="1"/>
  </cols>
  <sheetData>
    <row r="2" spans="2:5" ht="31.5" x14ac:dyDescent="0.5">
      <c r="B2" s="69" t="s">
        <v>0</v>
      </c>
      <c r="C2" s="69"/>
      <c r="D2" s="69"/>
      <c r="E2" s="69"/>
    </row>
    <row r="4" spans="2:5" x14ac:dyDescent="0.25">
      <c r="B4" s="70" t="s">
        <v>1</v>
      </c>
      <c r="C4" s="70"/>
    </row>
  </sheetData>
  <mergeCells count="2">
    <mergeCell ref="B2:E2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ED-571F-4DC4-A3AB-2CE05A8E3FF9}">
  <dimension ref="B2:N36"/>
  <sheetViews>
    <sheetView topLeftCell="A15" workbookViewId="0">
      <selection activeCell="B25" activeCellId="2" sqref="B18:E18 B4:E4 B25:E25"/>
    </sheetView>
  </sheetViews>
  <sheetFormatPr defaultRowHeight="15" x14ac:dyDescent="0.25"/>
  <cols>
    <col min="1" max="1" width="1.42578125" customWidth="1"/>
    <col min="4" max="4" width="18.42578125" bestFit="1" customWidth="1"/>
    <col min="5" max="5" width="13.7109375" bestFit="1" customWidth="1"/>
    <col min="6" max="6" width="1.140625" customWidth="1"/>
    <col min="8" max="8" width="10.42578125" customWidth="1"/>
    <col min="9" max="9" width="14.28515625" bestFit="1" customWidth="1"/>
    <col min="10" max="10" width="0.5703125" customWidth="1"/>
    <col min="11" max="11" width="9.140625" hidden="1" customWidth="1"/>
    <col min="13" max="13" width="11.5703125" bestFit="1" customWidth="1"/>
    <col min="14" max="14" width="15.28515625" bestFit="1" customWidth="1"/>
  </cols>
  <sheetData>
    <row r="2" spans="2:14" ht="31.5" x14ac:dyDescent="0.5">
      <c r="B2" s="69" t="s">
        <v>2</v>
      </c>
      <c r="C2" s="69"/>
      <c r="D2" s="69"/>
      <c r="E2" s="69"/>
      <c r="G2" s="69" t="s">
        <v>14</v>
      </c>
      <c r="H2" s="69"/>
      <c r="I2" s="69"/>
      <c r="L2" s="69" t="s">
        <v>13</v>
      </c>
      <c r="M2" s="69"/>
      <c r="N2" s="69"/>
    </row>
    <row r="4" spans="2:14" x14ac:dyDescent="0.25">
      <c r="B4" s="75" t="s">
        <v>79</v>
      </c>
      <c r="C4" s="75"/>
      <c r="D4" s="75"/>
      <c r="E4" s="75"/>
    </row>
    <row r="5" spans="2:14" x14ac:dyDescent="0.25">
      <c r="B5" s="71" t="s">
        <v>3</v>
      </c>
      <c r="C5" s="71"/>
    </row>
    <row r="8" spans="2:14" x14ac:dyDescent="0.25">
      <c r="B8" s="70" t="s">
        <v>5</v>
      </c>
      <c r="C8" s="70"/>
      <c r="D8" s="72">
        <v>1000000</v>
      </c>
      <c r="E8" s="72"/>
      <c r="G8" s="70" t="s">
        <v>5</v>
      </c>
      <c r="H8" s="70"/>
      <c r="I8" s="1">
        <v>1000000</v>
      </c>
      <c r="L8" s="70" t="s">
        <v>15</v>
      </c>
      <c r="M8" s="70"/>
      <c r="N8" s="5">
        <v>20000000</v>
      </c>
    </row>
    <row r="9" spans="2:14" x14ac:dyDescent="0.25">
      <c r="B9" s="70" t="s">
        <v>4</v>
      </c>
      <c r="C9" s="70"/>
      <c r="D9" s="72">
        <v>40</v>
      </c>
      <c r="E9" s="72"/>
      <c r="G9" s="70" t="s">
        <v>107</v>
      </c>
      <c r="H9" s="70"/>
      <c r="I9" s="64">
        <v>10</v>
      </c>
      <c r="L9" s="70" t="s">
        <v>16</v>
      </c>
      <c r="M9" s="70"/>
      <c r="N9" s="5">
        <v>1000000</v>
      </c>
    </row>
    <row r="10" spans="2:14" ht="15.75" thickBot="1" x14ac:dyDescent="0.3">
      <c r="B10" s="70" t="s">
        <v>6</v>
      </c>
      <c r="C10" s="70"/>
      <c r="D10" s="74">
        <f>D9*D8</f>
        <v>40000000</v>
      </c>
      <c r="E10" s="74"/>
      <c r="G10" s="70" t="s">
        <v>10</v>
      </c>
      <c r="H10" s="70"/>
      <c r="I10" s="6">
        <f>I8*I9</f>
        <v>10000000</v>
      </c>
      <c r="L10" s="70" t="s">
        <v>17</v>
      </c>
      <c r="M10" s="70"/>
      <c r="N10" s="5">
        <v>3000000</v>
      </c>
    </row>
    <row r="11" spans="2:14" ht="15.75" thickTop="1" x14ac:dyDescent="0.25">
      <c r="L11" s="70" t="s">
        <v>18</v>
      </c>
      <c r="M11" s="70"/>
      <c r="N11" s="5">
        <v>100000</v>
      </c>
    </row>
    <row r="12" spans="2:14" x14ac:dyDescent="0.25">
      <c r="G12" s="70" t="s">
        <v>5</v>
      </c>
      <c r="H12" s="70"/>
      <c r="I12" s="1">
        <v>1000000</v>
      </c>
      <c r="L12" s="70" t="s">
        <v>19</v>
      </c>
      <c r="M12" s="70"/>
      <c r="N12" s="5">
        <v>10000000</v>
      </c>
    </row>
    <row r="13" spans="2:14" x14ac:dyDescent="0.25">
      <c r="G13" s="70" t="s">
        <v>108</v>
      </c>
      <c r="H13" s="70"/>
      <c r="I13" s="3">
        <v>5</v>
      </c>
      <c r="L13" s="70" t="s">
        <v>20</v>
      </c>
      <c r="M13" s="70"/>
      <c r="N13" s="5">
        <v>500000</v>
      </c>
    </row>
    <row r="14" spans="2:14" ht="15.75" thickBot="1" x14ac:dyDescent="0.3">
      <c r="G14" s="70" t="s">
        <v>11</v>
      </c>
      <c r="H14" s="70"/>
      <c r="I14" s="6">
        <f>I12*I13</f>
        <v>5000000</v>
      </c>
      <c r="L14" s="70" t="s">
        <v>21</v>
      </c>
      <c r="M14" s="70"/>
      <c r="N14" s="7">
        <f>SUM(N8:N13)</f>
        <v>34600000</v>
      </c>
    </row>
    <row r="15" spans="2:14" ht="15.75" thickTop="1" x14ac:dyDescent="0.25"/>
    <row r="16" spans="2:14" x14ac:dyDescent="0.25">
      <c r="L16" s="70" t="s">
        <v>22</v>
      </c>
      <c r="M16" s="70"/>
    </row>
    <row r="18" spans="2:14" x14ac:dyDescent="0.25">
      <c r="B18" s="75" t="s">
        <v>80</v>
      </c>
      <c r="C18" s="75"/>
      <c r="D18" s="75"/>
      <c r="E18" s="75"/>
      <c r="L18" s="70" t="s">
        <v>23</v>
      </c>
      <c r="M18" s="70"/>
      <c r="N18" s="2">
        <v>0.28999999999999998</v>
      </c>
    </row>
    <row r="19" spans="2:14" ht="15.75" thickBot="1" x14ac:dyDescent="0.3">
      <c r="B19" t="s">
        <v>7</v>
      </c>
      <c r="D19" s="73">
        <v>20000000</v>
      </c>
      <c r="E19" s="73"/>
      <c r="G19" s="70" t="s">
        <v>12</v>
      </c>
      <c r="H19" s="70"/>
      <c r="I19" s="8">
        <v>1000000</v>
      </c>
    </row>
    <row r="20" spans="2:14" ht="15.75" thickTop="1" x14ac:dyDescent="0.25"/>
    <row r="25" spans="2:14" x14ac:dyDescent="0.25">
      <c r="B25" s="75" t="s">
        <v>81</v>
      </c>
      <c r="C25" s="75"/>
      <c r="D25" s="75"/>
      <c r="E25" s="75"/>
    </row>
    <row r="27" spans="2:14" x14ac:dyDescent="0.25">
      <c r="B27" s="70" t="s">
        <v>8</v>
      </c>
      <c r="C27" s="70"/>
    </row>
    <row r="30" spans="2:14" x14ac:dyDescent="0.25">
      <c r="B30" s="70" t="s">
        <v>5</v>
      </c>
      <c r="C30" s="70"/>
      <c r="D30" s="72">
        <v>500000</v>
      </c>
      <c r="E30" s="72"/>
      <c r="G30" s="70" t="s">
        <v>5</v>
      </c>
      <c r="H30" s="70"/>
      <c r="I30" s="1">
        <f>D30</f>
        <v>500000</v>
      </c>
    </row>
    <row r="31" spans="2:14" x14ac:dyDescent="0.25">
      <c r="B31" s="70" t="s">
        <v>9</v>
      </c>
      <c r="C31" s="70"/>
      <c r="D31" s="72">
        <v>100</v>
      </c>
      <c r="E31" s="72"/>
      <c r="G31" s="70" t="s">
        <v>10</v>
      </c>
      <c r="H31" s="70"/>
      <c r="I31" s="4">
        <v>40</v>
      </c>
    </row>
    <row r="32" spans="2:14" ht="15.75" thickBot="1" x14ac:dyDescent="0.3">
      <c r="D32" s="73">
        <f>D31*D30</f>
        <v>50000000</v>
      </c>
      <c r="E32" s="73"/>
      <c r="G32" s="70" t="s">
        <v>10</v>
      </c>
      <c r="H32" s="70"/>
      <c r="I32" s="6">
        <f>I30*I31</f>
        <v>20000000</v>
      </c>
    </row>
    <row r="33" spans="2:9" ht="15.75" thickTop="1" x14ac:dyDescent="0.25"/>
    <row r="35" spans="2:9" ht="15.75" thickBot="1" x14ac:dyDescent="0.3">
      <c r="B35" t="s">
        <v>6</v>
      </c>
      <c r="E35" s="6">
        <f>D32+D19+D10</f>
        <v>110000000</v>
      </c>
      <c r="I35" s="6">
        <f>I32+I19+I10+I14</f>
        <v>36000000</v>
      </c>
    </row>
    <row r="36" spans="2:9" ht="15.75" thickTop="1" x14ac:dyDescent="0.25"/>
  </sheetData>
  <mergeCells count="39">
    <mergeCell ref="L12:M12"/>
    <mergeCell ref="L14:M14"/>
    <mergeCell ref="L16:M16"/>
    <mergeCell ref="L18:M18"/>
    <mergeCell ref="G19:H19"/>
    <mergeCell ref="G30:H30"/>
    <mergeCell ref="G31:H31"/>
    <mergeCell ref="G32:H32"/>
    <mergeCell ref="L2:N2"/>
    <mergeCell ref="L13:M13"/>
    <mergeCell ref="L8:M8"/>
    <mergeCell ref="L9:M9"/>
    <mergeCell ref="L10:M10"/>
    <mergeCell ref="L11:M11"/>
    <mergeCell ref="G2:I2"/>
    <mergeCell ref="G8:H8"/>
    <mergeCell ref="G9:H9"/>
    <mergeCell ref="G10:H10"/>
    <mergeCell ref="G14:H14"/>
    <mergeCell ref="G12:H12"/>
    <mergeCell ref="G13:H13"/>
    <mergeCell ref="D32:E32"/>
    <mergeCell ref="B10:C10"/>
    <mergeCell ref="D10:E10"/>
    <mergeCell ref="B4:E4"/>
    <mergeCell ref="B18:E18"/>
    <mergeCell ref="B25:E25"/>
    <mergeCell ref="D19:E19"/>
    <mergeCell ref="B27:C27"/>
    <mergeCell ref="B31:C31"/>
    <mergeCell ref="B30:C30"/>
    <mergeCell ref="D31:E31"/>
    <mergeCell ref="D30:E30"/>
    <mergeCell ref="B2:E2"/>
    <mergeCell ref="B5:C5"/>
    <mergeCell ref="B9:C9"/>
    <mergeCell ref="B8:C8"/>
    <mergeCell ref="D9:E9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9CDC-CF52-4CA1-B1C4-9ED4F0B1AB47}">
  <dimension ref="A1:G34"/>
  <sheetViews>
    <sheetView showGridLines="0" topLeftCell="A3" workbookViewId="0">
      <selection activeCell="A3" sqref="A1:A1048576"/>
    </sheetView>
  </sheetViews>
  <sheetFormatPr defaultRowHeight="15" x14ac:dyDescent="0.25"/>
  <cols>
    <col min="3" max="3" width="18.28515625" style="21" bestFit="1" customWidth="1"/>
    <col min="4" max="4" width="1" style="21" customWidth="1"/>
    <col min="5" max="5" width="19.28515625" style="21" bestFit="1" customWidth="1"/>
  </cols>
  <sheetData>
    <row r="1" spans="1:7" x14ac:dyDescent="0.25">
      <c r="A1" s="69" t="s">
        <v>46</v>
      </c>
      <c r="B1" s="69"/>
      <c r="C1" s="69"/>
      <c r="D1" s="69"/>
      <c r="E1" s="69"/>
    </row>
    <row r="2" spans="1:7" x14ac:dyDescent="0.25">
      <c r="A2" s="69"/>
      <c r="B2" s="69"/>
      <c r="C2" s="69"/>
      <c r="D2" s="69"/>
      <c r="E2" s="69"/>
    </row>
    <row r="3" spans="1:7" ht="15.75" x14ac:dyDescent="0.25">
      <c r="A3" s="25" t="s">
        <v>2</v>
      </c>
    </row>
    <row r="4" spans="1:7" x14ac:dyDescent="0.25">
      <c r="B4" t="str">
        <f>'REVENUE COST '!B4:E4</f>
        <v xml:space="preserve">R-stream 1 </v>
      </c>
      <c r="C4" s="21">
        <f>'REVENUE COST '!D10</f>
        <v>40000000</v>
      </c>
    </row>
    <row r="5" spans="1:7" x14ac:dyDescent="0.25">
      <c r="B5" t="str">
        <f>'REVENUE COST '!B18:E18</f>
        <v>R-stream 2</v>
      </c>
      <c r="C5" s="21">
        <f>'REVENUE COST '!D19</f>
        <v>20000000</v>
      </c>
    </row>
    <row r="6" spans="1:7" x14ac:dyDescent="0.25">
      <c r="B6" t="str">
        <f>'REVENUE COST '!B25:E25</f>
        <v>R-stream 3</v>
      </c>
      <c r="C6" s="22">
        <f>'REVENUE COST '!D32</f>
        <v>50000000</v>
      </c>
      <c r="E6" s="21">
        <f>SUM($C$4:$C$6)</f>
        <v>110000000</v>
      </c>
    </row>
    <row r="8" spans="1:7" ht="15.75" x14ac:dyDescent="0.25">
      <c r="A8" s="25" t="s">
        <v>41</v>
      </c>
    </row>
    <row r="9" spans="1:7" x14ac:dyDescent="0.25">
      <c r="B9" t="s">
        <v>82</v>
      </c>
      <c r="C9" s="21">
        <f>-('REVENUE COST '!I10+'REVENUE COST '!I14)</f>
        <v>-15000000</v>
      </c>
    </row>
    <row r="10" spans="1:7" x14ac:dyDescent="0.25">
      <c r="B10" t="s">
        <v>83</v>
      </c>
      <c r="C10" s="21">
        <f>-'REVENUE COST '!I19</f>
        <v>-1000000</v>
      </c>
    </row>
    <row r="11" spans="1:7" x14ac:dyDescent="0.25">
      <c r="B11" t="s">
        <v>84</v>
      </c>
      <c r="C11" s="22">
        <f>-'REVENUE COST '!I32</f>
        <v>-20000000</v>
      </c>
      <c r="E11" s="21">
        <f>SUM(C9:C11)</f>
        <v>-36000000</v>
      </c>
    </row>
    <row r="13" spans="1:7" ht="15.75" x14ac:dyDescent="0.25">
      <c r="A13" s="25" t="s">
        <v>42</v>
      </c>
      <c r="B13" s="25"/>
      <c r="E13" s="23">
        <f>E6+E11</f>
        <v>74000000</v>
      </c>
    </row>
    <row r="15" spans="1:7" x14ac:dyDescent="0.25">
      <c r="G15" t="s">
        <v>77</v>
      </c>
    </row>
    <row r="16" spans="1:7" x14ac:dyDescent="0.25">
      <c r="A16" s="70" t="s">
        <v>15</v>
      </c>
      <c r="B16" s="70"/>
      <c r="C16" s="21">
        <f>-'REVENUE COST '!N8</f>
        <v>-20000000</v>
      </c>
      <c r="G16" s="3">
        <f>C16/$E$6</f>
        <v>-0.18181818181818182</v>
      </c>
    </row>
    <row r="17" spans="1:7" x14ac:dyDescent="0.25">
      <c r="A17" s="70" t="s">
        <v>16</v>
      </c>
      <c r="B17" s="70"/>
      <c r="C17" s="21">
        <f>-'REVENUE COST '!N9</f>
        <v>-1000000</v>
      </c>
      <c r="G17" s="3">
        <f t="shared" ref="G17:G22" si="0">C17/$E$6</f>
        <v>-9.0909090909090905E-3</v>
      </c>
    </row>
    <row r="18" spans="1:7" x14ac:dyDescent="0.25">
      <c r="A18" s="70" t="s">
        <v>17</v>
      </c>
      <c r="B18" s="70"/>
      <c r="C18" s="21">
        <f>-'REVENUE COST '!N10</f>
        <v>-3000000</v>
      </c>
      <c r="G18" s="3">
        <f t="shared" si="0"/>
        <v>-2.7272727272727271E-2</v>
      </c>
    </row>
    <row r="19" spans="1:7" x14ac:dyDescent="0.25">
      <c r="A19" s="70" t="s">
        <v>18</v>
      </c>
      <c r="B19" s="70"/>
      <c r="C19" s="21">
        <f>-'REVENUE COST '!N11</f>
        <v>-100000</v>
      </c>
      <c r="G19" s="3">
        <f t="shared" si="0"/>
        <v>-9.0909090909090909E-4</v>
      </c>
    </row>
    <row r="20" spans="1:7" x14ac:dyDescent="0.25">
      <c r="A20" s="70" t="s">
        <v>19</v>
      </c>
      <c r="B20" s="70"/>
      <c r="C20" s="21">
        <f>-'REVENUE COST '!N12</f>
        <v>-10000000</v>
      </c>
      <c r="G20" s="3">
        <f t="shared" si="0"/>
        <v>-9.0909090909090912E-2</v>
      </c>
    </row>
    <row r="21" spans="1:7" x14ac:dyDescent="0.25">
      <c r="A21" s="70" t="s">
        <v>20</v>
      </c>
      <c r="B21" s="70"/>
      <c r="C21" s="21">
        <f>-'REVENUE COST '!N13</f>
        <v>-500000</v>
      </c>
      <c r="G21" s="3">
        <f t="shared" si="0"/>
        <v>-4.5454545454545452E-3</v>
      </c>
    </row>
    <row r="22" spans="1:7" x14ac:dyDescent="0.25">
      <c r="A22" s="70"/>
      <c r="B22" s="70"/>
      <c r="E22" s="21">
        <f>SUM(C16:C22)</f>
        <v>-34600000</v>
      </c>
      <c r="G22" s="3">
        <f t="shared" si="0"/>
        <v>0</v>
      </c>
    </row>
    <row r="24" spans="1:7" ht="15.75" x14ac:dyDescent="0.25">
      <c r="A24" s="76" t="s">
        <v>43</v>
      </c>
      <c r="B24" s="76"/>
      <c r="C24" s="76"/>
      <c r="E24" s="23">
        <f>E13+E22</f>
        <v>39400000</v>
      </c>
    </row>
    <row r="26" spans="1:7" ht="15.75" x14ac:dyDescent="0.25">
      <c r="A26" s="76" t="s">
        <v>117</v>
      </c>
      <c r="B26" s="76"/>
      <c r="C26" s="76"/>
      <c r="E26" s="21">
        <v>-400000</v>
      </c>
    </row>
    <row r="28" spans="1:7" ht="15.75" x14ac:dyDescent="0.25">
      <c r="A28" s="76" t="s">
        <v>44</v>
      </c>
      <c r="B28" s="76"/>
      <c r="C28" s="76"/>
      <c r="E28" s="23">
        <f>E24+E26</f>
        <v>39000000</v>
      </c>
    </row>
    <row r="30" spans="1:7" ht="15.75" x14ac:dyDescent="0.25">
      <c r="A30" s="76" t="s">
        <v>45</v>
      </c>
      <c r="B30" s="76"/>
      <c r="C30" s="76"/>
      <c r="E30" s="21">
        <f>-E28*'REVENUE COST '!$N$18</f>
        <v>-11310000</v>
      </c>
    </row>
    <row r="33" spans="1:5" ht="16.5" thickBot="1" x14ac:dyDescent="0.3">
      <c r="A33" s="76" t="s">
        <v>44</v>
      </c>
      <c r="B33" s="76"/>
      <c r="C33" s="76"/>
      <c r="E33" s="24">
        <f>E28+E30</f>
        <v>27690000</v>
      </c>
    </row>
    <row r="34" spans="1:5" ht="15.75" thickTop="1" x14ac:dyDescent="0.25"/>
  </sheetData>
  <mergeCells count="13">
    <mergeCell ref="A33:C33"/>
    <mergeCell ref="A30:C30"/>
    <mergeCell ref="A16:B16"/>
    <mergeCell ref="A17:B17"/>
    <mergeCell ref="A18:B18"/>
    <mergeCell ref="A19:B19"/>
    <mergeCell ref="A20:B20"/>
    <mergeCell ref="A21:B21"/>
    <mergeCell ref="A1:E2"/>
    <mergeCell ref="A22:B22"/>
    <mergeCell ref="A24:C24"/>
    <mergeCell ref="A26:C26"/>
    <mergeCell ref="A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5400-299E-4089-9104-09D667EC9D5A}">
  <sheetPr>
    <pageSetUpPr fitToPage="1"/>
  </sheetPr>
  <dimension ref="A1:G35"/>
  <sheetViews>
    <sheetView zoomScaleNormal="100" workbookViewId="0">
      <selection sqref="A1:G35"/>
    </sheetView>
  </sheetViews>
  <sheetFormatPr defaultRowHeight="15" x14ac:dyDescent="0.25"/>
  <cols>
    <col min="1" max="1" width="30.85546875" customWidth="1"/>
    <col min="2" max="2" width="11.7109375" bestFit="1" customWidth="1"/>
    <col min="3" max="5" width="22.7109375" style="42" bestFit="1" customWidth="1"/>
    <col min="6" max="7" width="22.85546875" style="42" bestFit="1" customWidth="1"/>
  </cols>
  <sheetData>
    <row r="1" spans="1:7" ht="15" customHeight="1" x14ac:dyDescent="0.25">
      <c r="A1" s="77" t="s">
        <v>85</v>
      </c>
      <c r="B1" s="77"/>
      <c r="C1" s="77"/>
      <c r="D1" s="77"/>
      <c r="E1" s="77"/>
      <c r="F1" s="77"/>
      <c r="G1" s="77"/>
    </row>
    <row r="2" spans="1:7" ht="15" customHeight="1" x14ac:dyDescent="0.25">
      <c r="A2" s="77"/>
      <c r="B2" s="77"/>
      <c r="C2" s="77"/>
      <c r="D2" s="77"/>
      <c r="E2" s="77"/>
      <c r="F2" s="77"/>
      <c r="G2" s="77"/>
    </row>
    <row r="3" spans="1:7" x14ac:dyDescent="0.25">
      <c r="A3" t="str">
        <f>'profit loss statement SOURCE'!A3</f>
        <v>REVENUE</v>
      </c>
      <c r="C3" s="36">
        <v>1</v>
      </c>
      <c r="D3" s="36">
        <v>2</v>
      </c>
      <c r="E3" s="36">
        <v>3</v>
      </c>
      <c r="F3" s="36">
        <v>4</v>
      </c>
      <c r="G3" s="36">
        <v>5</v>
      </c>
    </row>
    <row r="4" spans="1:7" x14ac:dyDescent="0.25">
      <c r="B4" t="str">
        <f>'profit loss statement SOURCE'!B4</f>
        <v xml:space="preserve">R-stream 1 </v>
      </c>
      <c r="C4" s="49">
        <f>VLOOKUP($B4,'profit and loss assumptions'!$A$12:$F$91,MATCH('PROFIT LOSS STATEMENT'!C$3,'profit and loss assumptions'!$A$8:$F$8,0),FALSE)</f>
        <v>40000000</v>
      </c>
      <c r="D4" s="49">
        <f>VLOOKUP($B4,'profit and loss assumptions'!$A$12:$F$89,MATCH('PROFIT LOSS STATEMENT'!D$3,'profit and loss assumptions'!$A$8:$F$8,0),FALSE)</f>
        <v>46000000</v>
      </c>
      <c r="E4" s="49">
        <f>VLOOKUP($B4,'profit and loss assumptions'!$A$12:$F$89,MATCH('PROFIT LOSS STATEMENT'!E$3,'profit and loss assumptions'!$A$8:$F$8,0),FALSE)</f>
        <v>52899999.999999993</v>
      </c>
      <c r="F4" s="49">
        <f>VLOOKUP($B4,'profit and loss assumptions'!$A$12:$F$89,MATCH('PROFIT LOSS STATEMENT'!F$3,'profit and loss assumptions'!$A$8:$F$8,0),FALSE)</f>
        <v>60834999.999999985</v>
      </c>
      <c r="G4" s="49">
        <f>VLOOKUP($B4,'profit and loss assumptions'!$A$12:$F$89,MATCH('PROFIT LOSS STATEMENT'!G$3,'profit and loss assumptions'!$A$8:$F$8,0),FALSE)</f>
        <v>69960249.99999997</v>
      </c>
    </row>
    <row r="5" spans="1:7" x14ac:dyDescent="0.25">
      <c r="B5" t="str">
        <f>'profit loss statement SOURCE'!B5</f>
        <v>R-stream 2</v>
      </c>
      <c r="C5" s="50">
        <f>VLOOKUP($B5,'profit and loss assumptions'!$A$12:$F$89,MATCH('PROFIT LOSS STATEMENT'!C$3,'profit and loss assumptions'!$A$8:$F$8,0),FALSE)</f>
        <v>20000000</v>
      </c>
      <c r="D5" s="50">
        <f>VLOOKUP($B5,'profit and loss assumptions'!$A$12:$F$89,MATCH('PROFIT LOSS STATEMENT'!D$3,'profit and loss assumptions'!$A$8:$F$8,0),FALSE)</f>
        <v>23000000</v>
      </c>
      <c r="E5" s="50">
        <f>VLOOKUP($B5,'profit and loss assumptions'!$A$12:$F$89,MATCH('PROFIT LOSS STATEMENT'!E$3,'profit and loss assumptions'!$A$8:$F$8,0),FALSE)</f>
        <v>26449999.999999996</v>
      </c>
      <c r="F5" s="50">
        <f>VLOOKUP($B5,'profit and loss assumptions'!$A$12:$F$89,MATCH('PROFIT LOSS STATEMENT'!F$3,'profit and loss assumptions'!$A$8:$F$8,0),FALSE)</f>
        <v>30417499.999999993</v>
      </c>
      <c r="G5" s="50">
        <f>VLOOKUP($B5,'profit and loss assumptions'!$A$12:$F$89,MATCH('PROFIT LOSS STATEMENT'!G$3,'profit and loss assumptions'!$A$8:$F$8,0),FALSE)</f>
        <v>34980124.999999985</v>
      </c>
    </row>
    <row r="6" spans="1:7" x14ac:dyDescent="0.25">
      <c r="B6" t="str">
        <f>'profit loss statement SOURCE'!B6</f>
        <v>R-stream 3</v>
      </c>
      <c r="C6" s="51">
        <f>VLOOKUP($B6,'profit and loss assumptions'!$A$12:$F$89,MATCH('PROFIT LOSS STATEMENT'!C$3,'profit and loss assumptions'!$A$8:$F$8,0),FALSE)</f>
        <v>50000000</v>
      </c>
      <c r="D6" s="51">
        <f>VLOOKUP($B6,'profit and loss assumptions'!$A$12:$F$89,MATCH('PROFIT LOSS STATEMENT'!D$3,'profit and loss assumptions'!$A$8:$F$8,0),FALSE)</f>
        <v>57499999.999999993</v>
      </c>
      <c r="E6" s="51">
        <f>VLOOKUP($B6,'profit and loss assumptions'!$A$12:$F$89,MATCH('PROFIT LOSS STATEMENT'!E$3,'profit and loss assumptions'!$A$8:$F$8,0),FALSE)</f>
        <v>66124999.999999985</v>
      </c>
      <c r="F6" s="51">
        <f>VLOOKUP($B6,'profit and loss assumptions'!$A$12:$F$89,MATCH('PROFIT LOSS STATEMENT'!F$3,'profit and loss assumptions'!$A$8:$F$8,0),FALSE)</f>
        <v>76043749.99999997</v>
      </c>
      <c r="G6" s="51">
        <f>VLOOKUP($B6,'profit and loss assumptions'!$A$12:$F$89,MATCH('PROFIT LOSS STATEMENT'!G$3,'profit and loss assumptions'!$A$8:$F$8,0),FALSE)</f>
        <v>87450312.499999955</v>
      </c>
    </row>
    <row r="7" spans="1:7" ht="15.75" x14ac:dyDescent="0.25">
      <c r="C7" s="62">
        <f>SUM(C3:C6)</f>
        <v>110000001</v>
      </c>
      <c r="D7" s="62">
        <f t="shared" ref="D7:G7" si="0">SUM(D3:D6)</f>
        <v>126500002</v>
      </c>
      <c r="E7" s="62">
        <f t="shared" si="0"/>
        <v>145475002.99999997</v>
      </c>
      <c r="F7" s="62">
        <f t="shared" si="0"/>
        <v>167296253.99999994</v>
      </c>
      <c r="G7" s="62">
        <f t="shared" si="0"/>
        <v>192390692.49999991</v>
      </c>
    </row>
    <row r="8" spans="1:7" x14ac:dyDescent="0.25">
      <c r="A8" t="str">
        <f>'profit loss statement SOURCE'!A8</f>
        <v>COST OF REVENUE</v>
      </c>
    </row>
    <row r="9" spans="1:7" x14ac:dyDescent="0.25">
      <c r="B9" t="str">
        <f>'profit loss statement SOURCE'!B9</f>
        <v xml:space="preserve">C-stream 1 </v>
      </c>
      <c r="C9" s="49">
        <f>VLOOKUP($B9,'profit and loss assumptions'!$A$12:$F$89,MATCH('PROFIT LOSS STATEMENT'!C$3,'profit and loss assumptions'!$A$8:$F$8,0),FALSE)</f>
        <v>-15000000</v>
      </c>
      <c r="D9" s="49">
        <f>VLOOKUP($B9,'profit and loss assumptions'!$A$12:$F$89,MATCH('PROFIT LOSS STATEMENT'!D$3,'profit and loss assumptions'!$A$8:$F$8,0),FALSE)</f>
        <v>-17250000</v>
      </c>
      <c r="E9" s="49">
        <f>VLOOKUP($B9,'profit and loss assumptions'!$A$12:$F$89,MATCH('PROFIT LOSS STATEMENT'!E$3,'profit and loss assumptions'!$A$8:$F$8,0),FALSE)</f>
        <v>-19837500</v>
      </c>
      <c r="F9" s="49">
        <f>VLOOKUP($B9,'profit and loss assumptions'!$A$12:$F$89,MATCH('PROFIT LOSS STATEMENT'!F$3,'profit and loss assumptions'!$A$8:$F$8,0),FALSE)</f>
        <v>-22813125</v>
      </c>
      <c r="G9" s="49">
        <f>VLOOKUP($B9,'profit and loss assumptions'!$A$12:$F$89,MATCH('PROFIT LOSS STATEMENT'!G$3,'profit and loss assumptions'!$A$8:$F$8,0),FALSE)</f>
        <v>-26235093.749999996</v>
      </c>
    </row>
    <row r="10" spans="1:7" x14ac:dyDescent="0.25">
      <c r="B10" t="str">
        <f>'profit loss statement SOURCE'!B10</f>
        <v>C-stream 2</v>
      </c>
      <c r="C10" s="50">
        <f>VLOOKUP($B10,'profit and loss assumptions'!$A$12:$F$89,MATCH('PROFIT LOSS STATEMENT'!C$3,'profit and loss assumptions'!$A$8:$F$8,0),FALSE)</f>
        <v>-1000000</v>
      </c>
      <c r="D10" s="50">
        <f>VLOOKUP($B10,'profit and loss assumptions'!$A$12:$F$89,MATCH('PROFIT LOSS STATEMENT'!D$3,'profit and loss assumptions'!$A$8:$F$8,0),FALSE)</f>
        <v>-1150000</v>
      </c>
      <c r="E10" s="50">
        <f>VLOOKUP($B10,'profit and loss assumptions'!$A$12:$F$89,MATCH('PROFIT LOSS STATEMENT'!E$3,'profit and loss assumptions'!$A$8:$F$8,0),FALSE)</f>
        <v>-1322500</v>
      </c>
      <c r="F10" s="50">
        <f>VLOOKUP($B10,'profit and loss assumptions'!$A$12:$F$89,MATCH('PROFIT LOSS STATEMENT'!F$3,'profit and loss assumptions'!$A$8:$F$8,0),FALSE)</f>
        <v>-1520874.9999999998</v>
      </c>
      <c r="G10" s="50">
        <f>VLOOKUP($B10,'profit and loss assumptions'!$A$12:$F$89,MATCH('PROFIT LOSS STATEMENT'!G$3,'profit and loss assumptions'!$A$8:$F$8,0),FALSE)</f>
        <v>-1749006.2499999995</v>
      </c>
    </row>
    <row r="11" spans="1:7" x14ac:dyDescent="0.25">
      <c r="B11" t="str">
        <f>'profit loss statement SOURCE'!B11</f>
        <v>C-stream 3</v>
      </c>
      <c r="C11" s="51">
        <f>VLOOKUP($B11,'profit and loss assumptions'!$A$12:$F$89,MATCH('PROFIT LOSS STATEMENT'!C$3,'profit and loss assumptions'!$A$8:$F$8,0),FALSE)</f>
        <v>-20000000</v>
      </c>
      <c r="D11" s="51">
        <f>VLOOKUP($B11,'profit and loss assumptions'!$A$12:$F$89,MATCH('PROFIT LOSS STATEMENT'!D$3,'profit and loss assumptions'!$A$8:$F$8,0),FALSE)</f>
        <v>-23000000</v>
      </c>
      <c r="E11" s="51">
        <f>VLOOKUP($B11,'profit and loss assumptions'!$A$12:$F$89,MATCH('PROFIT LOSS STATEMENT'!E$3,'profit and loss assumptions'!$A$8:$F$8,0),FALSE)</f>
        <v>-26449999.999999996</v>
      </c>
      <c r="F11" s="51">
        <f>VLOOKUP($B11,'profit and loss assumptions'!$A$12:$F$89,MATCH('PROFIT LOSS STATEMENT'!F$3,'profit and loss assumptions'!$A$8:$F$8,0),FALSE)</f>
        <v>-30417499.999999993</v>
      </c>
      <c r="G11" s="51">
        <f>VLOOKUP($B11,'profit and loss assumptions'!$A$12:$F$89,MATCH('PROFIT LOSS STATEMENT'!G$3,'profit and loss assumptions'!$A$8:$F$8,0),FALSE)</f>
        <v>-34980124.999999985</v>
      </c>
    </row>
    <row r="12" spans="1:7" x14ac:dyDescent="0.25">
      <c r="C12" s="27">
        <f>SUM(C9:C11)</f>
        <v>-36000000</v>
      </c>
      <c r="D12" s="27">
        <f t="shared" ref="D12:G12" si="1">SUM(D9:D11)</f>
        <v>-41400000</v>
      </c>
      <c r="E12" s="27">
        <f t="shared" si="1"/>
        <v>-47610000</v>
      </c>
      <c r="F12" s="27">
        <f t="shared" si="1"/>
        <v>-54751499.999999993</v>
      </c>
      <c r="G12" s="27">
        <f t="shared" si="1"/>
        <v>-62964224.999999985</v>
      </c>
    </row>
    <row r="13" spans="1:7" x14ac:dyDescent="0.25">
      <c r="C13" s="27"/>
      <c r="D13" s="27"/>
      <c r="E13" s="27"/>
      <c r="F13" s="27"/>
      <c r="G13" s="27"/>
    </row>
    <row r="14" spans="1:7" ht="15.75" x14ac:dyDescent="0.25">
      <c r="A14" t="str">
        <f>'profit loss statement SOURCE'!A13</f>
        <v>GROSS PROFIT</v>
      </c>
      <c r="C14" s="60">
        <f>C7+C12</f>
        <v>74000001</v>
      </c>
      <c r="D14" s="60">
        <f t="shared" ref="D14:G14" si="2">D7+D12</f>
        <v>85100002</v>
      </c>
      <c r="E14" s="60">
        <f t="shared" si="2"/>
        <v>97865002.99999997</v>
      </c>
      <c r="F14" s="60">
        <f t="shared" si="2"/>
        <v>112544753.99999994</v>
      </c>
      <c r="G14" s="60">
        <f t="shared" si="2"/>
        <v>129426467.49999993</v>
      </c>
    </row>
    <row r="15" spans="1:7" x14ac:dyDescent="0.25">
      <c r="C15" s="27"/>
      <c r="D15" s="27"/>
      <c r="E15" s="27"/>
      <c r="F15" s="27"/>
      <c r="G15" s="27"/>
    </row>
    <row r="17" spans="1:7" x14ac:dyDescent="0.25">
      <c r="A17" t="str">
        <f>'profit loss statement SOURCE'!A16</f>
        <v>PLATFORM</v>
      </c>
      <c r="C17" s="49">
        <f>VLOOKUP($A17,'profit and loss assumptions'!$A$12:$F$89,MATCH('PROFIT LOSS STATEMENT'!C$3,'profit and loss assumptions'!$A$8:$F$8,0),FALSE)</f>
        <v>-17000000</v>
      </c>
      <c r="D17" s="49">
        <f>VLOOKUP($A17,'profit and loss assumptions'!$A$12:$F$89,MATCH('PROFIT LOSS STATEMENT'!D$3,'profit and loss assumptions'!$A$8:$F$8,0),FALSE)</f>
        <v>-14372727.272727273</v>
      </c>
      <c r="E17" s="49">
        <f>VLOOKUP($A17,'profit and loss assumptions'!$A$12:$F$89,MATCH('PROFIT LOSS STATEMENT'!E$3,'profit and loss assumptions'!$A$8:$F$8,0),FALSE)</f>
        <v>-12151487.603305785</v>
      </c>
      <c r="F17" s="49">
        <f>VLOOKUP($A17,'profit and loss assumptions'!$A$12:$F$89,MATCH('PROFIT LOSS STATEMENT'!F$3,'profit and loss assumptions'!$A$8:$F$8,0),FALSE)</f>
        <v>-10273530.428249437</v>
      </c>
      <c r="G17" s="49">
        <f>VLOOKUP($A17,'profit and loss assumptions'!$A$12:$F$89,MATCH('PROFIT LOSS STATEMENT'!G$3,'profit and loss assumptions'!$A$8:$F$8,0),FALSE)</f>
        <v>-8685802.9984290693</v>
      </c>
    </row>
    <row r="18" spans="1:7" x14ac:dyDescent="0.25">
      <c r="A18" t="str">
        <f>'profit loss statement SOURCE'!A17</f>
        <v>RENTAL</v>
      </c>
      <c r="C18" s="50">
        <f>VLOOKUP($A18,'profit and loss assumptions'!$A$12:$F$89,MATCH('PROFIT LOSS STATEMENT'!C$3,'profit and loss assumptions'!$A$8:$F$8,0),FALSE)</f>
        <v>-1000000</v>
      </c>
      <c r="D18" s="50">
        <f>VLOOKUP($A18,'profit and loss assumptions'!$A$12:$F$89,MATCH('PROFIT LOSS STATEMENT'!D$3,'profit and loss assumptions'!$A$8:$F$8,0),FALSE)</f>
        <v>-992272.72727272729</v>
      </c>
      <c r="E18" s="50">
        <f>VLOOKUP($A18,'profit and loss assumptions'!$A$12:$F$89,MATCH('PROFIT LOSS STATEMENT'!E$3,'profit and loss assumptions'!$A$8:$F$8,0),FALSE)</f>
        <v>-984605.16528925626</v>
      </c>
      <c r="F18" s="50">
        <f>VLOOKUP($A18,'profit and loss assumptions'!$A$12:$F$89,MATCH('PROFIT LOSS STATEMENT'!F$3,'profit and loss assumptions'!$A$8:$F$8,0),FALSE)</f>
        <v>-976996.85264838475</v>
      </c>
      <c r="G18" s="50">
        <f>VLOOKUP($A18,'profit and loss assumptions'!$A$12:$F$89,MATCH('PROFIT LOSS STATEMENT'!G$3,'profit and loss assumptions'!$A$8:$F$8,0),FALSE)</f>
        <v>-969447.33151428367</v>
      </c>
    </row>
    <row r="19" spans="1:7" x14ac:dyDescent="0.25">
      <c r="A19" t="str">
        <f>'profit loss statement SOURCE'!A18</f>
        <v>EMPLOYEE COST</v>
      </c>
      <c r="C19" s="50">
        <f>VLOOKUP($A19,'profit and loss assumptions'!$A$12:$F$89,MATCH('PROFIT LOSS STATEMENT'!C$3,'profit and loss assumptions'!$A$8:$F$8,0),FALSE)</f>
        <v>-3000000</v>
      </c>
      <c r="D19" s="50">
        <f>VLOOKUP($A19,'profit and loss assumptions'!$A$12:$F$89,MATCH('PROFIT LOSS STATEMENT'!D$3,'profit and loss assumptions'!$A$8:$F$8,0),FALSE)</f>
        <v>-2930454.5454545454</v>
      </c>
      <c r="E19" s="50">
        <f>VLOOKUP($A19,'profit and loss assumptions'!$A$12:$F$89,MATCH('PROFIT LOSS STATEMENT'!E$3,'profit and loss assumptions'!$A$8:$F$8,0),FALSE)</f>
        <v>-2862521.2809917354</v>
      </c>
      <c r="F19" s="50">
        <f>VLOOKUP($A19,'profit and loss assumptions'!$A$12:$F$89,MATCH('PROFIT LOSS STATEMENT'!F$3,'profit and loss assumptions'!$A$8:$F$8,0),FALSE)</f>
        <v>-2796162.8331141998</v>
      </c>
      <c r="G19" s="50">
        <f>VLOOKUP($A19,'profit and loss assumptions'!$A$12:$F$89,MATCH('PROFIT LOSS STATEMENT'!G$3,'profit and loss assumptions'!$A$8:$F$8,0),FALSE)</f>
        <v>-2731342.694710189</v>
      </c>
    </row>
    <row r="20" spans="1:7" x14ac:dyDescent="0.25">
      <c r="A20" t="str">
        <f>'profit loss statement SOURCE'!A19</f>
        <v>LEGAL EXPENSE</v>
      </c>
      <c r="C20" s="50">
        <f>VLOOKUP($A20,'profit and loss assumptions'!$A$12:$F$89,MATCH('PROFIT LOSS STATEMENT'!C$3,'profit and loss assumptions'!$A$8:$F$8,0),FALSE)</f>
        <v>-10000000</v>
      </c>
      <c r="D20" s="50">
        <f>VLOOKUP($A20,'profit and loss assumptions'!$A$12:$F$89,MATCH('PROFIT LOSS STATEMENT'!D$3,'profit and loss assumptions'!$A$8:$F$8,0),FALSE)</f>
        <v>-9992272.7272727266</v>
      </c>
      <c r="E20" s="50">
        <f>VLOOKUP($A20,'profit and loss assumptions'!$A$12:$F$89,MATCH('PROFIT LOSS STATEMENT'!E$3,'profit and loss assumptions'!$A$8:$F$8,0),FALSE)</f>
        <v>-9984551.425619835</v>
      </c>
      <c r="F20" s="50">
        <f>VLOOKUP($A20,'profit and loss assumptions'!$A$12:$F$89,MATCH('PROFIT LOSS STATEMENT'!F$3,'profit and loss assumptions'!$A$8:$F$8,0),FALSE)</f>
        <v>-9976836.0904273111</v>
      </c>
      <c r="G20" s="50">
        <f>VLOOKUP($A20,'profit and loss assumptions'!$A$12:$F$89,MATCH('PROFIT LOSS STATEMENT'!G$3,'profit and loss assumptions'!$A$8:$F$8,0),FALSE)</f>
        <v>-9969126.7170847077</v>
      </c>
    </row>
    <row r="21" spans="1:7" x14ac:dyDescent="0.25">
      <c r="A21" t="str">
        <f>'profit loss statement SOURCE'!A20</f>
        <v>OFFICE EXPENSE</v>
      </c>
      <c r="C21" s="50">
        <f>VLOOKUP($A21,'profit and loss assumptions'!$A$12:$F$89,MATCH('PROFIT LOSS STATEMENT'!C$3,'profit and loss assumptions'!$A$8:$F$8,0),FALSE)</f>
        <v>-10000000</v>
      </c>
      <c r="D21" s="50">
        <f>VLOOKUP($A21,'profit and loss assumptions'!$A$12:$F$89,MATCH('PROFIT LOSS STATEMENT'!D$3,'profit and loss assumptions'!$A$8:$F$8,0),FALSE)</f>
        <v>-9227272.7272727266</v>
      </c>
      <c r="E21" s="50">
        <f>VLOOKUP($A21,'profit and loss assumptions'!$A$12:$F$89,MATCH('PROFIT LOSS STATEMENT'!E$3,'profit and loss assumptions'!$A$8:$F$8,0),FALSE)</f>
        <v>-8514256.1983471066</v>
      </c>
      <c r="F21" s="50">
        <f>VLOOKUP($A21,'profit and loss assumptions'!$A$12:$F$89,MATCH('PROFIT LOSS STATEMENT'!F$3,'profit and loss assumptions'!$A$8:$F$8,0),FALSE)</f>
        <v>-7856336.4012021031</v>
      </c>
      <c r="G21" s="50">
        <f>VLOOKUP($A21,'profit and loss assumptions'!$A$12:$F$89,MATCH('PROFIT LOSS STATEMENT'!G$3,'profit and loss assumptions'!$A$8:$F$8,0),FALSE)</f>
        <v>-7249255.861109213</v>
      </c>
    </row>
    <row r="22" spans="1:7" x14ac:dyDescent="0.25">
      <c r="A22" t="str">
        <f>'profit loss statement SOURCE'!A21</f>
        <v>MISC EXPENSE</v>
      </c>
      <c r="C22" s="51">
        <f>VLOOKUP($A22,'profit and loss assumptions'!$A$12:$F$89,MATCH('PROFIT LOSS STATEMENT'!C$3,'profit and loss assumptions'!$A$8:$F$8,0),FALSE)</f>
        <v>-500000</v>
      </c>
      <c r="D22" s="51">
        <f>VLOOKUP($A22,'profit and loss assumptions'!$A$12:$F$89,MATCH('PROFIT LOSS STATEMENT'!D$3,'profit and loss assumptions'!$A$8:$F$8,0),FALSE)</f>
        <v>-498068.18181818182</v>
      </c>
      <c r="E22" s="51">
        <f>VLOOKUP($A22,'profit and loss assumptions'!$A$12:$F$89,MATCH('PROFIT LOSS STATEMENT'!E$3,'profit and loss assumptions'!$A$8:$F$8,0),FALSE)</f>
        <v>-496143.82747933886</v>
      </c>
      <c r="F22" s="51">
        <f>VLOOKUP($A22,'profit and loss assumptions'!$A$12:$F$89,MATCH('PROFIT LOSS STATEMENT'!F$3,'profit and loss assumptions'!$A$8:$F$8,0),FALSE)</f>
        <v>-494226.90814589593</v>
      </c>
      <c r="G22" s="51">
        <f>VLOOKUP($A22,'profit and loss assumptions'!$A$12:$F$89,MATCH('PROFIT LOSS STATEMENT'!G$3,'profit and loss assumptions'!$A$8:$F$8,0),FALSE)</f>
        <v>-492317.39509169583</v>
      </c>
    </row>
    <row r="23" spans="1:7" ht="15.75" x14ac:dyDescent="0.25">
      <c r="C23" s="62">
        <f>SUM(C17:C22)</f>
        <v>-41500000</v>
      </c>
      <c r="D23" s="62">
        <f t="shared" ref="D23:G23" si="3">SUM(D17:D22)</f>
        <v>-38013068.18181818</v>
      </c>
      <c r="E23" s="62">
        <f t="shared" si="3"/>
        <v>-34993565.50103306</v>
      </c>
      <c r="F23" s="62">
        <f t="shared" si="3"/>
        <v>-32374089.513787337</v>
      </c>
      <c r="G23" s="62">
        <f t="shared" si="3"/>
        <v>-30097292.997939162</v>
      </c>
    </row>
    <row r="25" spans="1:7" ht="15.75" x14ac:dyDescent="0.25">
      <c r="A25" t="str">
        <f>'profit loss statement SOURCE'!A24</f>
        <v>PROFIT BEFORE INTERST AND TAX</v>
      </c>
      <c r="C25" s="60">
        <f>C14+C23</f>
        <v>32500001</v>
      </c>
      <c r="D25" s="60">
        <f t="shared" ref="D25:G25" si="4">D14+D23</f>
        <v>47086933.81818182</v>
      </c>
      <c r="E25" s="60">
        <f t="shared" si="4"/>
        <v>62871437.49896691</v>
      </c>
      <c r="F25" s="60">
        <f t="shared" si="4"/>
        <v>80170664.486212611</v>
      </c>
      <c r="G25" s="60">
        <f t="shared" si="4"/>
        <v>99329174.502060771</v>
      </c>
    </row>
    <row r="27" spans="1:7" x14ac:dyDescent="0.25">
      <c r="A27" t="str">
        <f>'profit loss statement SOURCE'!A26</f>
        <v>INTERST EXPENSE</v>
      </c>
      <c r="C27" s="42">
        <f>VLOOKUP($A$27,'profit and loss assumptions'!$A$8:$F$91,MATCH(C3,'profit and loss assumptions'!$A$8:$F$8,0),FALSE)</f>
        <v>400000</v>
      </c>
      <c r="D27" s="42">
        <f>VLOOKUP($A$27,'profit and loss assumptions'!$A$8:$F$91,MATCH(D3,'profit and loss assumptions'!$A$8:$F$8,0),FALSE)</f>
        <v>334481.0076821018</v>
      </c>
      <c r="E27" s="42">
        <f>VLOOKUP($A$27,'profit and loss assumptions'!$A$8:$F$91,MATCH(E3,'profit and loss assumptions'!$A$8:$F$8,0),FALSE)</f>
        <v>262410.11613241379</v>
      </c>
      <c r="F27" s="42">
        <f>VLOOKUP($A$27,'profit and loss assumptions'!$A$8:$F$91,MATCH(F3,'profit and loss assumptions'!$A$8:$F$8,0),FALSE)</f>
        <v>183132.13542775702</v>
      </c>
      <c r="G27" s="42">
        <f>VLOOKUP($A$27,'profit and loss assumptions'!$A$8:$F$91,MATCH(G3,'profit and loss assumptions'!$A$8:$F$8,0),FALSE)</f>
        <v>183132.13542775702</v>
      </c>
    </row>
    <row r="29" spans="1:7" ht="15.75" x14ac:dyDescent="0.25">
      <c r="A29" t="str">
        <f>'profit loss statement SOURCE'!A28</f>
        <v>PROFIT BEFORE TAX</v>
      </c>
      <c r="C29" s="60">
        <f>C25+C27</f>
        <v>32900001</v>
      </c>
      <c r="D29" s="60">
        <f t="shared" ref="D29:G29" si="5">D25+D27</f>
        <v>47421414.82586392</v>
      </c>
      <c r="E29" s="60">
        <f t="shared" si="5"/>
        <v>63133847.615099326</v>
      </c>
      <c r="F29" s="60">
        <f t="shared" si="5"/>
        <v>80353796.621640369</v>
      </c>
      <c r="G29" s="60">
        <f t="shared" si="5"/>
        <v>99512306.637488529</v>
      </c>
    </row>
    <row r="31" spans="1:7" x14ac:dyDescent="0.25">
      <c r="A31" t="str">
        <f>'profit loss statement SOURCE'!A30</f>
        <v>TAX</v>
      </c>
      <c r="B31" s="3">
        <v>0.28999999999999998</v>
      </c>
      <c r="C31" s="42">
        <f>-C29*$B$31</f>
        <v>-9541000.2899999991</v>
      </c>
      <c r="D31" s="42">
        <f t="shared" ref="D31:G31" si="6">-D29*$B$31</f>
        <v>-13752210.299500536</v>
      </c>
      <c r="E31" s="42">
        <f t="shared" si="6"/>
        <v>-18308815.808378804</v>
      </c>
      <c r="F31" s="42">
        <f t="shared" si="6"/>
        <v>-23302601.020275705</v>
      </c>
      <c r="G31" s="42">
        <f t="shared" si="6"/>
        <v>-28858568.924871672</v>
      </c>
    </row>
    <row r="34" spans="1:7" ht="16.5" thickBot="1" x14ac:dyDescent="0.3">
      <c r="A34" t="str">
        <f>'profit loss statement SOURCE'!A33</f>
        <v>PROFIT BEFORE TAX</v>
      </c>
      <c r="C34" s="61">
        <f>C29+C31</f>
        <v>23359000.710000001</v>
      </c>
      <c r="D34" s="61">
        <f t="shared" ref="D34:G34" si="7">D29+D31</f>
        <v>33669204.526363388</v>
      </c>
      <c r="E34" s="61">
        <f t="shared" si="7"/>
        <v>44825031.806720525</v>
      </c>
      <c r="F34" s="61">
        <f t="shared" si="7"/>
        <v>57051195.601364665</v>
      </c>
      <c r="G34" s="61">
        <f t="shared" si="7"/>
        <v>70653737.712616861</v>
      </c>
    </row>
    <row r="35" spans="1:7" ht="15.75" thickTop="1" x14ac:dyDescent="0.25"/>
  </sheetData>
  <mergeCells count="1">
    <mergeCell ref="A1:G2"/>
  </mergeCells>
  <pageMargins left="0.25" right="0.25" top="0.75" bottom="0.75" header="0.3" footer="0.3"/>
  <pageSetup paperSize="9" scale="9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09ED-476A-431C-BC4C-07E37657AEEA}">
  <sheetPr>
    <pageSetUpPr fitToPage="1"/>
  </sheetPr>
  <dimension ref="A1:Q22"/>
  <sheetViews>
    <sheetView showGridLines="0" zoomScaleNormal="100" workbookViewId="0">
      <selection activeCell="T13" sqref="T13"/>
    </sheetView>
  </sheetViews>
  <sheetFormatPr defaultRowHeight="15" x14ac:dyDescent="0.25"/>
  <cols>
    <col min="4" max="5" width="0" hidden="1" customWidth="1"/>
    <col min="6" max="6" width="18.28515625" bestFit="1" customWidth="1"/>
    <col min="11" max="11" width="8.85546875" hidden="1" customWidth="1"/>
    <col min="12" max="13" width="0" hidden="1" customWidth="1"/>
    <col min="14" max="14" width="18.28515625" bestFit="1" customWidth="1"/>
    <col min="17" max="17" width="16" bestFit="1" customWidth="1"/>
  </cols>
  <sheetData>
    <row r="1" spans="1:17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7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7" ht="15.75" x14ac:dyDescent="0.25">
      <c r="A3" s="29" t="s">
        <v>47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7" ht="15.75" x14ac:dyDescent="0.25">
      <c r="A4" s="29" t="s">
        <v>48</v>
      </c>
      <c r="B4" s="28"/>
      <c r="C4" s="28"/>
      <c r="D4" s="28"/>
      <c r="E4" s="28"/>
      <c r="F4" s="28"/>
      <c r="G4" s="28"/>
      <c r="H4" s="29" t="s">
        <v>49</v>
      </c>
      <c r="I4" s="28"/>
      <c r="J4" s="28"/>
      <c r="K4" s="28"/>
      <c r="L4" s="28"/>
      <c r="M4" s="28"/>
      <c r="N4" s="28"/>
    </row>
    <row r="5" spans="1:17" x14ac:dyDescent="0.25">
      <c r="A5" s="78" t="s">
        <v>52</v>
      </c>
      <c r="B5" s="78"/>
      <c r="C5" s="78"/>
      <c r="D5" s="28"/>
      <c r="E5" s="28"/>
      <c r="F5" s="28">
        <v>8500000</v>
      </c>
      <c r="G5" s="28"/>
      <c r="H5" s="78" t="s">
        <v>59</v>
      </c>
      <c r="I5" s="78"/>
      <c r="J5" s="78"/>
      <c r="K5" s="28"/>
      <c r="L5" s="28"/>
      <c r="M5" s="28"/>
      <c r="N5" s="28">
        <f>'debt calculator'!N5</f>
        <v>4000000</v>
      </c>
    </row>
    <row r="6" spans="1:17" x14ac:dyDescent="0.25">
      <c r="A6" s="78" t="s">
        <v>53</v>
      </c>
      <c r="B6" s="78"/>
      <c r="C6" s="78"/>
      <c r="D6" s="28"/>
      <c r="E6" s="28"/>
      <c r="F6" s="28">
        <v>5100000</v>
      </c>
      <c r="G6" s="28"/>
      <c r="H6" s="28"/>
      <c r="I6" s="28"/>
      <c r="J6" s="28"/>
      <c r="K6" s="28"/>
      <c r="L6" s="28"/>
      <c r="M6" s="28"/>
      <c r="N6" s="28"/>
    </row>
    <row r="7" spans="1:17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7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7" ht="15.75" x14ac:dyDescent="0.25">
      <c r="A9" s="29" t="s">
        <v>48</v>
      </c>
      <c r="B9" s="28"/>
      <c r="C9" s="28"/>
      <c r="D9" s="28"/>
      <c r="E9" s="28"/>
      <c r="F9" s="28"/>
      <c r="G9" s="28"/>
      <c r="H9" s="29" t="s">
        <v>50</v>
      </c>
      <c r="I9" s="28"/>
      <c r="J9" s="28"/>
      <c r="K9" s="28"/>
      <c r="L9" s="28"/>
      <c r="M9" s="28"/>
      <c r="N9" s="28"/>
    </row>
    <row r="10" spans="1:17" x14ac:dyDescent="0.25">
      <c r="A10" s="78" t="s">
        <v>54</v>
      </c>
      <c r="B10" s="78"/>
      <c r="C10" s="78"/>
      <c r="D10" s="28"/>
      <c r="E10" s="28"/>
      <c r="F10" s="28">
        <f>-'profit loss statement SOURCE'!E11*2.5%</f>
        <v>900000</v>
      </c>
      <c r="G10" s="28"/>
      <c r="H10" s="78" t="s">
        <v>57</v>
      </c>
      <c r="I10" s="78"/>
      <c r="J10" s="78"/>
      <c r="K10" s="28"/>
      <c r="L10" s="28"/>
      <c r="M10" s="28"/>
      <c r="N10" s="28">
        <v>1800000</v>
      </c>
      <c r="Q10" s="42">
        <f>'PROFIT LOSS STATEMENT'!C12*2.5%</f>
        <v>-900000</v>
      </c>
    </row>
    <row r="11" spans="1:17" x14ac:dyDescent="0.25">
      <c r="A11" s="78" t="s">
        <v>55</v>
      </c>
      <c r="B11" s="78"/>
      <c r="C11" s="78"/>
      <c r="D11" s="28"/>
      <c r="E11" s="28"/>
      <c r="F11" s="28">
        <v>12073749.99</v>
      </c>
      <c r="G11" s="28"/>
      <c r="H11" s="78" t="s">
        <v>58</v>
      </c>
      <c r="I11" s="78"/>
      <c r="J11" s="78"/>
      <c r="K11" s="28"/>
      <c r="L11" s="28"/>
      <c r="M11" s="28"/>
      <c r="N11" s="28">
        <v>450000</v>
      </c>
    </row>
    <row r="12" spans="1:17" x14ac:dyDescent="0.25">
      <c r="A12" s="78" t="s">
        <v>56</v>
      </c>
      <c r="B12" s="78"/>
      <c r="C12" s="78"/>
      <c r="D12" s="28"/>
      <c r="E12" s="28"/>
      <c r="F12" s="28">
        <f>'PROFIT LOSS STATEMENT'!$C$7*1.5%</f>
        <v>1650000.0149999999</v>
      </c>
      <c r="G12" s="28"/>
      <c r="H12" s="28"/>
      <c r="I12" s="28"/>
      <c r="J12" s="28"/>
      <c r="K12" s="28"/>
      <c r="L12" s="28"/>
      <c r="M12" s="28"/>
      <c r="N12" s="28"/>
    </row>
    <row r="13" spans="1:17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7" ht="15.75" x14ac:dyDescent="0.25">
      <c r="A14" s="28"/>
      <c r="B14" s="28"/>
      <c r="C14" s="28"/>
      <c r="D14" s="28"/>
      <c r="E14" s="28"/>
      <c r="F14" s="28"/>
      <c r="G14" s="28"/>
      <c r="H14" s="29" t="s">
        <v>51</v>
      </c>
      <c r="I14" s="28"/>
      <c r="J14" s="28"/>
      <c r="K14" s="28"/>
      <c r="L14" s="28"/>
      <c r="M14" s="28"/>
      <c r="N14" s="28"/>
    </row>
    <row r="15" spans="1:17" x14ac:dyDescent="0.25">
      <c r="A15" s="28"/>
      <c r="B15" s="28"/>
      <c r="C15" s="28"/>
      <c r="D15" s="28"/>
      <c r="E15" s="28"/>
      <c r="F15" s="28"/>
      <c r="G15" s="28"/>
      <c r="H15" s="78" t="s">
        <v>60</v>
      </c>
      <c r="I15" s="78"/>
      <c r="J15" s="78"/>
      <c r="K15" s="28"/>
      <c r="L15" s="28"/>
      <c r="M15" s="28"/>
      <c r="N15" s="28">
        <v>21600000</v>
      </c>
    </row>
    <row r="16" spans="1:17" x14ac:dyDescent="0.25">
      <c r="A16" s="28"/>
      <c r="B16" s="28"/>
      <c r="C16" s="28"/>
      <c r="D16" s="28"/>
      <c r="E16" s="28"/>
      <c r="F16" s="28"/>
      <c r="G16" s="28"/>
      <c r="H16" s="78" t="s">
        <v>61</v>
      </c>
      <c r="I16" s="78"/>
      <c r="J16" s="78"/>
      <c r="K16" s="28"/>
      <c r="L16" s="28"/>
      <c r="M16" s="28"/>
      <c r="N16" s="28"/>
    </row>
    <row r="17" spans="1:14" x14ac:dyDescent="0.25">
      <c r="A17" s="28"/>
      <c r="B17" s="28"/>
      <c r="C17" s="28"/>
      <c r="D17" s="28"/>
      <c r="E17" s="28"/>
      <c r="F17" s="28"/>
      <c r="G17" s="28"/>
      <c r="H17" s="78" t="s">
        <v>62</v>
      </c>
      <c r="I17" s="78"/>
      <c r="J17" s="78"/>
      <c r="K17" s="28"/>
      <c r="L17" s="28"/>
      <c r="M17" s="28"/>
      <c r="N17" s="28"/>
    </row>
    <row r="18" spans="1:14" x14ac:dyDescent="0.25">
      <c r="A18" s="28"/>
      <c r="B18" s="28"/>
      <c r="C18" s="28"/>
      <c r="D18" s="28"/>
      <c r="E18" s="28"/>
      <c r="F18" s="28"/>
      <c r="G18" s="28"/>
      <c r="H18" s="78" t="s">
        <v>63</v>
      </c>
      <c r="I18" s="78"/>
      <c r="J18" s="78"/>
      <c r="K18" s="28"/>
      <c r="L18" s="28"/>
      <c r="M18" s="28"/>
      <c r="N18" s="28"/>
    </row>
    <row r="19" spans="1:14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s="26" customFormat="1" ht="15.75" thickBot="1" x14ac:dyDescent="0.3">
      <c r="A20" s="30" t="s">
        <v>64</v>
      </c>
      <c r="B20" s="30"/>
      <c r="C20" s="30"/>
      <c r="D20" s="30"/>
      <c r="E20" s="30"/>
      <c r="F20" s="31">
        <f>SUM(F5:F19)</f>
        <v>28223750.005000003</v>
      </c>
      <c r="G20" s="30"/>
      <c r="H20" s="30" t="s">
        <v>65</v>
      </c>
      <c r="I20" s="30"/>
      <c r="J20" s="30"/>
      <c r="K20" s="30"/>
      <c r="L20" s="30"/>
      <c r="M20" s="30"/>
      <c r="N20" s="31">
        <f>SUM(N5:N19)</f>
        <v>27850000</v>
      </c>
    </row>
    <row r="21" spans="1:14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</sheetData>
  <mergeCells count="13">
    <mergeCell ref="A1:N2"/>
    <mergeCell ref="H5:J5"/>
    <mergeCell ref="H11:J11"/>
    <mergeCell ref="H10:J10"/>
    <mergeCell ref="H18:J18"/>
    <mergeCell ref="H17:J17"/>
    <mergeCell ref="H16:J16"/>
    <mergeCell ref="H15:J15"/>
    <mergeCell ref="A11:C11"/>
    <mergeCell ref="A12:C12"/>
    <mergeCell ref="A10:C10"/>
    <mergeCell ref="A6:C6"/>
    <mergeCell ref="A5:C5"/>
  </mergeCells>
  <pageMargins left="0.7" right="0.7" top="0.75" bottom="0.75" header="0.3" footer="0.3"/>
  <pageSetup paperSize="6" scale="8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9D2C-4EEB-4798-AD08-F89BC74AD104}">
  <sheetPr>
    <pageSetUpPr fitToPage="1"/>
  </sheetPr>
  <dimension ref="A1:J39"/>
  <sheetViews>
    <sheetView zoomScaleNormal="100" workbookViewId="0">
      <selection sqref="A1:F31"/>
    </sheetView>
  </sheetViews>
  <sheetFormatPr defaultRowHeight="15" x14ac:dyDescent="0.25"/>
  <cols>
    <col min="1" max="1" width="31.5703125" bestFit="1" customWidth="1"/>
    <col min="2" max="2" width="20.42578125" bestFit="1" customWidth="1"/>
    <col min="3" max="3" width="20.7109375" bestFit="1" customWidth="1"/>
    <col min="4" max="6" width="20.42578125" bestFit="1" customWidth="1"/>
    <col min="7" max="7" width="20" bestFit="1" customWidth="1"/>
  </cols>
  <sheetData>
    <row r="1" spans="1:10" ht="15" customHeight="1" x14ac:dyDescent="0.25">
      <c r="A1" s="69" t="s">
        <v>88</v>
      </c>
      <c r="B1" s="69"/>
      <c r="C1" s="69"/>
      <c r="D1" s="69"/>
      <c r="E1" s="69"/>
      <c r="F1" s="69"/>
    </row>
    <row r="2" spans="1:10" ht="15" customHeight="1" x14ac:dyDescent="0.25">
      <c r="A2" s="69"/>
      <c r="B2" s="69"/>
      <c r="C2" s="69"/>
      <c r="D2" s="69"/>
      <c r="E2" s="69"/>
      <c r="F2" s="69"/>
    </row>
    <row r="3" spans="1:10" ht="15" customHeight="1" x14ac:dyDescent="0.5">
      <c r="A3" s="55"/>
      <c r="B3" s="55"/>
      <c r="C3" s="38"/>
      <c r="D3" s="41"/>
      <c r="E3" s="41"/>
      <c r="F3" s="39"/>
      <c r="G3" s="39"/>
      <c r="H3" s="39"/>
    </row>
    <row r="4" spans="1:10" ht="15.75" x14ac:dyDescent="0.25">
      <c r="A4" s="58" t="s">
        <v>70</v>
      </c>
      <c r="B4" s="58">
        <v>1</v>
      </c>
      <c r="C4" s="58">
        <v>2</v>
      </c>
      <c r="D4" s="58">
        <v>3</v>
      </c>
      <c r="E4" s="58">
        <v>4</v>
      </c>
      <c r="F4" s="58">
        <v>5</v>
      </c>
    </row>
    <row r="6" spans="1:10" x14ac:dyDescent="0.25">
      <c r="B6" s="56">
        <f>B7/'PROFIT LOSS STATEMENT'!C7</f>
        <v>1.4999999999999998E-2</v>
      </c>
      <c r="C6" s="56">
        <f>C7/'PROFIT LOSS STATEMENT'!D7</f>
        <v>1.4999999999999996E-2</v>
      </c>
      <c r="D6" s="56">
        <f>D7/'PROFIT LOSS STATEMENT'!E7</f>
        <v>1.4999999999999996E-2</v>
      </c>
      <c r="E6" s="56">
        <f>E7/'PROFIT LOSS STATEMENT'!F7</f>
        <v>1.4999999999999998E-2</v>
      </c>
      <c r="F6" s="56">
        <f>F7/'PROFIT LOSS STATEMENT'!G7</f>
        <v>1.4999999999999996E-2</v>
      </c>
    </row>
    <row r="7" spans="1:10" s="26" customFormat="1" x14ac:dyDescent="0.25">
      <c r="A7" s="26" t="s">
        <v>86</v>
      </c>
      <c r="B7" s="42">
        <f>B8*'PROFIT LOSS STATEMENT'!C7/365</f>
        <v>1650000.0149999997</v>
      </c>
      <c r="C7" s="42">
        <f>C8*'PROFIT LOSS STATEMENT'!D7/365</f>
        <v>1897500.0299999996</v>
      </c>
      <c r="D7" s="42">
        <f>D8*'PROFIT LOSS STATEMENT'!E7/365</f>
        <v>2182125.044999999</v>
      </c>
      <c r="E7" s="42">
        <f>E8*'PROFIT LOSS STATEMENT'!F7/365</f>
        <v>2509443.8099999987</v>
      </c>
      <c r="F7" s="42">
        <f>F8*'PROFIT LOSS STATEMENT'!G7/365</f>
        <v>2885860.3874999979</v>
      </c>
      <c r="G7" s="53">
        <f>'balance sheet source'!$F$12/'PROFIT LOSS STATEMENT'!$C$7*365</f>
        <v>5.4749999999999996</v>
      </c>
      <c r="H7" s="26" t="s">
        <v>87</v>
      </c>
    </row>
    <row r="8" spans="1:10" x14ac:dyDescent="0.25">
      <c r="A8" t="s">
        <v>90</v>
      </c>
      <c r="B8" s="57">
        <f>'balance sheet source'!$F$12*365/'PROFIT LOSS STATEMENT'!$C$7</f>
        <v>5.4749999999999988</v>
      </c>
      <c r="C8" s="57">
        <f>'balance sheet source'!$F$12*365/'PROFIT LOSS STATEMENT'!$C$7</f>
        <v>5.4749999999999988</v>
      </c>
      <c r="D8" s="57">
        <f>'balance sheet source'!$F$12*365/'PROFIT LOSS STATEMENT'!$C$7</f>
        <v>5.4749999999999988</v>
      </c>
      <c r="E8" s="57">
        <f>'balance sheet source'!$F$12*365/'PROFIT LOSS STATEMENT'!$C$7</f>
        <v>5.4749999999999988</v>
      </c>
      <c r="F8" s="57">
        <f>'balance sheet source'!$F$12*365/'PROFIT LOSS STATEMENT'!$C$7</f>
        <v>5.4749999999999988</v>
      </c>
      <c r="G8" s="79" t="s">
        <v>89</v>
      </c>
      <c r="H8" s="79"/>
      <c r="I8" s="79"/>
    </row>
    <row r="9" spans="1:10" x14ac:dyDescent="0.25">
      <c r="G9" s="79"/>
      <c r="H9" s="79"/>
      <c r="I9" s="79"/>
    </row>
    <row r="10" spans="1:10" x14ac:dyDescent="0.25">
      <c r="G10" s="79"/>
      <c r="H10" s="79"/>
      <c r="I10" s="79"/>
    </row>
    <row r="11" spans="1:10" x14ac:dyDescent="0.25">
      <c r="B11" s="56">
        <f>B12/-'PROFIT LOSS STATEMENT'!C12</f>
        <v>2.5000000000000001E-2</v>
      </c>
      <c r="C11" s="56">
        <f>C12/-'PROFIT LOSS STATEMENT'!D12</f>
        <v>2.1739130434782608E-2</v>
      </c>
      <c r="D11" s="56">
        <f>D12/-'PROFIT LOSS STATEMENT'!E12</f>
        <v>1.890359168241966E-2</v>
      </c>
      <c r="E11" s="56">
        <f>E12/-'PROFIT LOSS STATEMENT'!F12</f>
        <v>1.6437905810799708E-2</v>
      </c>
      <c r="F11" s="56">
        <f>F12/-'PROFIT LOSS STATEMENT'!G12</f>
        <v>1.4293831139825833E-2</v>
      </c>
    </row>
    <row r="12" spans="1:10" x14ac:dyDescent="0.25">
      <c r="A12" s="26" t="s">
        <v>92</v>
      </c>
      <c r="B12" s="42">
        <f>B13*-'PROFIT LOSS STATEMENT'!C12/365</f>
        <v>900000</v>
      </c>
      <c r="C12" s="42">
        <f>C13*-'PROFIT LOSS STATEMENT'!D12/365</f>
        <v>900000</v>
      </c>
      <c r="D12" s="42">
        <f>D13*-'PROFIT LOSS STATEMENT'!E12/365</f>
        <v>900000</v>
      </c>
      <c r="E12" s="42">
        <f>E13*-'PROFIT LOSS STATEMENT'!F12/365</f>
        <v>900000.00000000012</v>
      </c>
      <c r="F12" s="42">
        <f>F13*-'PROFIT LOSS STATEMENT'!G12/365</f>
        <v>900000</v>
      </c>
    </row>
    <row r="13" spans="1:10" x14ac:dyDescent="0.25">
      <c r="A13" t="s">
        <v>90</v>
      </c>
      <c r="B13" s="57">
        <f>'balance sheet source'!$F$10/-'PROFIT LOSS STATEMENT'!C$12*365</f>
        <v>9.125</v>
      </c>
      <c r="C13" s="57">
        <f>'balance sheet source'!$F$10/-'PROFIT LOSS STATEMENT'!D$12*365</f>
        <v>7.9347826086956523</v>
      </c>
      <c r="D13" s="57">
        <f>'balance sheet source'!$F$10/-'PROFIT LOSS STATEMENT'!E$12*365</f>
        <v>6.8998109640831755</v>
      </c>
      <c r="E13" s="57">
        <f>'balance sheet source'!$F$10/-'PROFIT LOSS STATEMENT'!F$12*365</f>
        <v>5.9998356209418935</v>
      </c>
      <c r="F13" s="57">
        <f>'balance sheet source'!$F$10/-'PROFIT LOSS STATEMENT'!G$12*365</f>
        <v>5.2172483660364293</v>
      </c>
    </row>
    <row r="15" spans="1:10" x14ac:dyDescent="0.25">
      <c r="G15" s="53">
        <f>'balance sheet source'!$F$10/-'PROFIT LOSS STATEMENT'!C$12*365</f>
        <v>9.125</v>
      </c>
      <c r="H15" s="26" t="s">
        <v>87</v>
      </c>
      <c r="I15" s="26"/>
      <c r="J15" s="26"/>
    </row>
    <row r="16" spans="1:10" x14ac:dyDescent="0.25">
      <c r="B16" s="56">
        <f>B17/-'PROFIT LOSS STATEMENT'!C12</f>
        <v>2.361111111111111E-2</v>
      </c>
      <c r="C16" s="56">
        <f>C17/-'PROFIT LOSS STATEMENT'!D12</f>
        <v>1.5094231540356304E-2</v>
      </c>
      <c r="D16" s="56">
        <f>D17/-'PROFIT LOSS STATEMENT'!E12</f>
        <v>9.649517327741098E-3</v>
      </c>
      <c r="E16" s="56">
        <f>E17/-'PROFIT LOSS STATEMENT'!F12</f>
        <v>6.1687926549573637E-3</v>
      </c>
      <c r="F16" s="56">
        <f>F17/-'PROFIT LOSS STATEMENT'!G12</f>
        <v>3.9436172325900323E-3</v>
      </c>
      <c r="G16" s="79" t="s">
        <v>91</v>
      </c>
      <c r="H16" s="79"/>
      <c r="I16" s="79"/>
      <c r="J16" s="79"/>
    </row>
    <row r="17" spans="1:10" ht="15.75" x14ac:dyDescent="0.25">
      <c r="A17" s="25" t="s">
        <v>93</v>
      </c>
      <c r="B17" s="42">
        <f>B18*-'PROFIT LOSS STATEMENT'!C17/365</f>
        <v>850000</v>
      </c>
      <c r="C17" s="42">
        <f>C18*-'PROFIT LOSS STATEMENT'!D17/365</f>
        <v>624901.18577075098</v>
      </c>
      <c r="D17" s="42">
        <f>D18*-'PROFIT LOSS STATEMENT'!E17/365</f>
        <v>459413.51997375366</v>
      </c>
      <c r="E17" s="42">
        <f>E18*-'PROFIT LOSS STATEMENT'!F17/365</f>
        <v>337750.65104789805</v>
      </c>
      <c r="F17" s="42">
        <f>F18*-'PROFIT LOSS STATEMENT'!G17/365</f>
        <v>248306.80274667605</v>
      </c>
      <c r="G17" s="79"/>
      <c r="H17" s="79"/>
      <c r="I17" s="79"/>
      <c r="J17" s="79"/>
    </row>
    <row r="18" spans="1:10" x14ac:dyDescent="0.25">
      <c r="A18" t="s">
        <v>90</v>
      </c>
      <c r="B18" s="57">
        <f>'balance sheet source'!$N$10/-'PROFIT LOSS STATEMENT'!C$12*365</f>
        <v>18.25</v>
      </c>
      <c r="C18" s="57">
        <f>'balance sheet source'!$N$10/-'PROFIT LOSS STATEMENT'!D$12*365</f>
        <v>15.869565217391305</v>
      </c>
      <c r="D18" s="57">
        <f>'balance sheet source'!$N$10/-'PROFIT LOSS STATEMENT'!E$12*365</f>
        <v>13.799621928166351</v>
      </c>
      <c r="E18" s="57">
        <f>'balance sheet source'!$N$10/-'PROFIT LOSS STATEMENT'!F$12*365</f>
        <v>11.999671241883787</v>
      </c>
      <c r="F18" s="57">
        <f>'balance sheet source'!$N$10/-'PROFIT LOSS STATEMENT'!G$12*365</f>
        <v>10.434496732072859</v>
      </c>
      <c r="G18" s="54"/>
      <c r="H18" s="54"/>
      <c r="I18" s="54"/>
    </row>
    <row r="19" spans="1:10" x14ac:dyDescent="0.25">
      <c r="G19" s="54"/>
      <c r="H19" s="54"/>
      <c r="I19" s="54"/>
    </row>
    <row r="20" spans="1:10" x14ac:dyDescent="0.25">
      <c r="G20" s="53">
        <f>'balance sheet source'!$N$10/-'PROFIT LOSS STATEMENT'!C$12*365</f>
        <v>18.25</v>
      </c>
      <c r="H20" s="54"/>
      <c r="I20" s="54"/>
    </row>
    <row r="21" spans="1:10" s="26" customFormat="1" ht="15.75" x14ac:dyDescent="0.25">
      <c r="A21" s="25" t="s">
        <v>94</v>
      </c>
      <c r="B21" s="42">
        <f>B22*'PROFIT LOSS STATEMENT'!C7</f>
        <v>5100000</v>
      </c>
      <c r="C21" s="42">
        <f>'PROFIT LOSS STATEMENT'!D$7*'BALANCE SHEET assumptions '!C22</f>
        <v>5100000</v>
      </c>
      <c r="D21" s="42">
        <f>'PROFIT LOSS STATEMENT'!E$7*'BALANCE SHEET assumptions '!D22</f>
        <v>5100000</v>
      </c>
      <c r="E21" s="42">
        <f>'PROFIT LOSS STATEMENT'!F$7*'BALANCE SHEET assumptions '!E22</f>
        <v>5100000</v>
      </c>
      <c r="F21" s="42">
        <f>'PROFIT LOSS STATEMENT'!G$7*'BALANCE SHEET assumptions '!F22</f>
        <v>5100000</v>
      </c>
    </row>
    <row r="22" spans="1:10" x14ac:dyDescent="0.25">
      <c r="A22" t="s">
        <v>96</v>
      </c>
      <c r="B22" s="56">
        <f>'balance sheet source'!$F$6/'PROFIT LOSS STATEMENT'!C7</f>
        <v>4.6363635942148762E-2</v>
      </c>
      <c r="C22" s="56">
        <f>'balance sheet source'!$F$6/'PROFIT LOSS STATEMENT'!D7</f>
        <v>4.0316204896186481E-2</v>
      </c>
      <c r="D22" s="56">
        <f>'balance sheet source'!$F$6/'PROFIT LOSS STATEMENT'!E7</f>
        <v>3.505756930625395E-2</v>
      </c>
      <c r="E22" s="56">
        <f>'balance sheet source'!$F$6/'PROFIT LOSS STATEMENT'!F7</f>
        <v>3.0484842774782046E-2</v>
      </c>
      <c r="F22" s="56">
        <f>'balance sheet source'!$F$6/'PROFIT LOSS STATEMENT'!G7</f>
        <v>2.6508558879479071E-2</v>
      </c>
    </row>
    <row r="25" spans="1:10" ht="15.75" x14ac:dyDescent="0.25">
      <c r="A25" s="25" t="s">
        <v>95</v>
      </c>
      <c r="B25" s="42">
        <f>'PROFIT LOSS STATEMENT'!C$7*'BALANCE SHEET assumptions '!B26</f>
        <v>8500000</v>
      </c>
      <c r="C25" s="42">
        <f>'PROFIT LOSS STATEMENT'!D$7*'BALANCE SHEET assumptions '!C26</f>
        <v>8500000</v>
      </c>
      <c r="D25" s="42">
        <f>'PROFIT LOSS STATEMENT'!E$7*'BALANCE SHEET assumptions '!D26</f>
        <v>8500000</v>
      </c>
      <c r="E25" s="42">
        <f>'PROFIT LOSS STATEMENT'!F$7*'BALANCE SHEET assumptions '!E26</f>
        <v>8500000</v>
      </c>
      <c r="F25" s="42">
        <f>F26*'PROFIT LOSS STATEMENT'!G7</f>
        <v>8500000</v>
      </c>
    </row>
    <row r="26" spans="1:10" x14ac:dyDescent="0.25">
      <c r="A26" t="s">
        <v>96</v>
      </c>
      <c r="B26" s="56">
        <f>'balance sheet source'!$F$5/'PROFIT LOSS STATEMENT'!C$7</f>
        <v>7.7272726570247946E-2</v>
      </c>
      <c r="C26" s="56">
        <f>'balance sheet source'!$F$5/'PROFIT LOSS STATEMENT'!D$7</f>
        <v>6.7193674826977468E-2</v>
      </c>
      <c r="D26" s="56">
        <f>'balance sheet source'!$F$5/'PROFIT LOSS STATEMENT'!E$7</f>
        <v>5.8429282177089911E-2</v>
      </c>
      <c r="E26" s="56">
        <f>'balance sheet source'!$F$5/'PROFIT LOSS STATEMENT'!F$7</f>
        <v>5.0808071291303408E-2</v>
      </c>
      <c r="F26" s="56">
        <f>'balance sheet source'!$F$5/'PROFIT LOSS STATEMENT'!G$7</f>
        <v>4.4180931465798448E-2</v>
      </c>
    </row>
    <row r="27" spans="1:10" s="26" customFormat="1" x14ac:dyDescent="0.25">
      <c r="A27"/>
      <c r="B27"/>
      <c r="C27"/>
      <c r="D27"/>
      <c r="E27"/>
      <c r="F27"/>
    </row>
    <row r="29" spans="1:10" ht="15.75" x14ac:dyDescent="0.25">
      <c r="A29" s="25" t="s">
        <v>97</v>
      </c>
      <c r="B29" s="42">
        <f>-'PROFIT LOSS STATEMENT'!C$12*'BALANCE SHEET assumptions '!B30</f>
        <v>450000</v>
      </c>
      <c r="C29" s="42">
        <f>-'PROFIT LOSS STATEMENT'!D$12*'BALANCE SHEET assumptions '!C30</f>
        <v>517500</v>
      </c>
      <c r="D29" s="42">
        <f>-'PROFIT LOSS STATEMENT'!E$12*'BALANCE SHEET assumptions '!D30</f>
        <v>595125</v>
      </c>
      <c r="E29" s="42">
        <f>-'PROFIT LOSS STATEMENT'!F$12*'BALANCE SHEET assumptions '!E30</f>
        <v>684393.75</v>
      </c>
      <c r="F29" s="42">
        <f>-'PROFIT LOSS STATEMENT'!G$12*'BALANCE SHEET assumptions '!F30</f>
        <v>787052.81249999988</v>
      </c>
    </row>
    <row r="30" spans="1:10" x14ac:dyDescent="0.25">
      <c r="A30" t="s">
        <v>98</v>
      </c>
      <c r="B30" s="56">
        <f>'balance sheet source'!$N$11/-'PROFIT LOSS STATEMENT'!$C$12</f>
        <v>1.2500000000000001E-2</v>
      </c>
      <c r="C30" s="56">
        <f>'balance sheet source'!$N$11/-'PROFIT LOSS STATEMENT'!$C$12</f>
        <v>1.2500000000000001E-2</v>
      </c>
      <c r="D30" s="56">
        <f>'balance sheet source'!$N$11/-'PROFIT LOSS STATEMENT'!$C$12</f>
        <v>1.2500000000000001E-2</v>
      </c>
      <c r="E30" s="56">
        <f>'balance sheet source'!$N$11/-'PROFIT LOSS STATEMENT'!$C$12</f>
        <v>1.2500000000000001E-2</v>
      </c>
      <c r="F30" s="56">
        <f>'balance sheet source'!$N$11/-'PROFIT LOSS STATEMENT'!$C$12</f>
        <v>1.2500000000000001E-2</v>
      </c>
    </row>
    <row r="32" spans="1:10" s="26" customFormat="1" x14ac:dyDescent="0.25">
      <c r="A32"/>
      <c r="B32"/>
      <c r="C32"/>
      <c r="D32"/>
      <c r="E32"/>
      <c r="F32"/>
    </row>
    <row r="39" spans="1:6" s="26" customFormat="1" x14ac:dyDescent="0.25">
      <c r="A39"/>
      <c r="B39"/>
      <c r="C39"/>
      <c r="D39"/>
      <c r="E39"/>
      <c r="F39"/>
    </row>
  </sheetData>
  <mergeCells count="3">
    <mergeCell ref="A1:F2"/>
    <mergeCell ref="G8:I10"/>
    <mergeCell ref="G16:J17"/>
  </mergeCells>
  <pageMargins left="0.23622047244094491" right="0.23622047244094491" top="0.39370078740157483" bottom="0.74803149606299213" header="0.31496062992125984" footer="0.31496062992125984"/>
  <pageSetup paperSize="11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014A-0032-4CA5-96F9-8028E89DCD54}">
  <dimension ref="A4:I37"/>
  <sheetViews>
    <sheetView workbookViewId="0">
      <selection activeCell="I26" sqref="I26"/>
    </sheetView>
  </sheetViews>
  <sheetFormatPr defaultRowHeight="15" x14ac:dyDescent="0.25"/>
  <cols>
    <col min="1" max="1" width="21.5703125" bestFit="1" customWidth="1"/>
    <col min="4" max="4" width="18.28515625" bestFit="1" customWidth="1"/>
    <col min="5" max="8" width="19.28515625" bestFit="1" customWidth="1"/>
  </cols>
  <sheetData>
    <row r="4" spans="1:9" ht="15.75" x14ac:dyDescent="0.25">
      <c r="C4" s="58" t="s">
        <v>70</v>
      </c>
      <c r="D4" s="58">
        <v>1</v>
      </c>
      <c r="E4" s="58">
        <v>2</v>
      </c>
      <c r="F4" s="58">
        <v>3</v>
      </c>
      <c r="G4" s="58">
        <v>4</v>
      </c>
      <c r="H4" s="58">
        <v>5</v>
      </c>
    </row>
    <row r="5" spans="1:9" ht="15.75" x14ac:dyDescent="0.25">
      <c r="A5" s="29" t="s">
        <v>47</v>
      </c>
      <c r="B5" s="28"/>
      <c r="C5" s="28"/>
      <c r="D5" s="21"/>
      <c r="E5" s="21"/>
      <c r="F5" s="21"/>
      <c r="G5" s="21"/>
      <c r="H5" s="21"/>
    </row>
    <row r="6" spans="1:9" ht="15.75" x14ac:dyDescent="0.25">
      <c r="A6" s="29" t="s">
        <v>48</v>
      </c>
      <c r="B6" s="28"/>
      <c r="C6" s="28"/>
      <c r="D6" s="21"/>
      <c r="E6" s="21"/>
      <c r="F6" s="21"/>
      <c r="G6" s="21"/>
      <c r="H6" s="21"/>
    </row>
    <row r="7" spans="1:9" x14ac:dyDescent="0.25">
      <c r="A7" s="78" t="s">
        <v>52</v>
      </c>
      <c r="B7" s="78"/>
      <c r="C7" s="78"/>
      <c r="D7" s="21">
        <f>'BALANCE SHEET assumptions '!B25</f>
        <v>8500000</v>
      </c>
      <c r="E7" s="21">
        <f>'BALANCE SHEET assumptions '!C25</f>
        <v>8500000</v>
      </c>
      <c r="F7" s="21">
        <f>'BALANCE SHEET assumptions '!D25</f>
        <v>8500000</v>
      </c>
      <c r="G7" s="21">
        <f>'BALANCE SHEET assumptions '!E25</f>
        <v>8500000</v>
      </c>
      <c r="H7" s="21">
        <f>'BALANCE SHEET assumptions '!F25</f>
        <v>8500000</v>
      </c>
      <c r="I7" s="42"/>
    </row>
    <row r="8" spans="1:9" x14ac:dyDescent="0.25">
      <c r="A8" s="78" t="s">
        <v>53</v>
      </c>
      <c r="B8" s="78"/>
      <c r="C8" s="78"/>
      <c r="D8" s="21">
        <f>'BALANCE SHEET assumptions '!B21</f>
        <v>5100000</v>
      </c>
      <c r="E8" s="21">
        <f>'BALANCE SHEET assumptions '!C21</f>
        <v>5100000</v>
      </c>
      <c r="F8" s="21">
        <f>'BALANCE SHEET assumptions '!D21</f>
        <v>5100000</v>
      </c>
      <c r="G8" s="21">
        <f>'BALANCE SHEET assumptions '!E21</f>
        <v>5100000</v>
      </c>
      <c r="H8" s="21">
        <f>'BALANCE SHEET assumptions '!F21</f>
        <v>5100000</v>
      </c>
      <c r="I8" s="42"/>
    </row>
    <row r="9" spans="1:9" x14ac:dyDescent="0.25">
      <c r="A9" s="28"/>
      <c r="B9" s="28"/>
      <c r="C9" s="28"/>
      <c r="D9" s="21"/>
      <c r="E9" s="21"/>
      <c r="F9" s="21"/>
      <c r="G9" s="21"/>
      <c r="H9" s="21"/>
    </row>
    <row r="10" spans="1:9" x14ac:dyDescent="0.25">
      <c r="A10" s="28"/>
      <c r="B10" s="28"/>
      <c r="C10" s="28"/>
      <c r="D10" s="21"/>
      <c r="E10" s="21"/>
      <c r="F10" s="21"/>
      <c r="G10" s="21"/>
      <c r="H10" s="21"/>
    </row>
    <row r="11" spans="1:9" ht="15.75" x14ac:dyDescent="0.25">
      <c r="A11" s="29" t="s">
        <v>48</v>
      </c>
      <c r="B11" s="28"/>
      <c r="C11" s="28"/>
      <c r="D11" s="21"/>
      <c r="E11" s="21"/>
      <c r="F11" s="21"/>
      <c r="G11" s="21"/>
      <c r="H11" s="21"/>
    </row>
    <row r="12" spans="1:9" x14ac:dyDescent="0.25">
      <c r="A12" s="78" t="s">
        <v>54</v>
      </c>
      <c r="B12" s="78"/>
      <c r="C12" s="78"/>
      <c r="D12" s="21">
        <f>'BALANCE SHEET assumptions '!B12</f>
        <v>900000</v>
      </c>
      <c r="E12" s="21">
        <f>'BALANCE SHEET assumptions '!C12</f>
        <v>900000</v>
      </c>
      <c r="F12" s="21">
        <f>'BALANCE SHEET assumptions '!D12</f>
        <v>900000</v>
      </c>
      <c r="G12" s="21">
        <f>'BALANCE SHEET assumptions '!E12</f>
        <v>900000.00000000012</v>
      </c>
      <c r="H12" s="21">
        <f>'BALANCE SHEET assumptions '!F12</f>
        <v>900000</v>
      </c>
    </row>
    <row r="13" spans="1:9" x14ac:dyDescent="0.25">
      <c r="A13" s="78" t="s">
        <v>55</v>
      </c>
      <c r="B13" s="78"/>
      <c r="C13" s="78"/>
      <c r="D13" s="21">
        <f>'balance sheet source'!$F$11+'cash flows'!C39</f>
        <v>35981660.820821017</v>
      </c>
      <c r="E13" s="21">
        <f>D13+'cash flows'!D39</f>
        <v>70234759.640090436</v>
      </c>
      <c r="F13" s="21">
        <f>E13+'cash flows'!E39</f>
        <v>115987815.65593769</v>
      </c>
      <c r="G13" s="21">
        <f>F13+'cash flows'!F39</f>
        <v>174320632.8230806</v>
      </c>
      <c r="H13" s="21">
        <f>G13+'cash flows'!G39</f>
        <v>246720894.63378483</v>
      </c>
    </row>
    <row r="14" spans="1:9" x14ac:dyDescent="0.25">
      <c r="A14" s="78" t="s">
        <v>56</v>
      </c>
      <c r="B14" s="78"/>
      <c r="C14" s="78"/>
      <c r="D14" s="21">
        <f>'BALANCE SHEET assumptions '!B7</f>
        <v>1650000.0149999997</v>
      </c>
      <c r="E14" s="21">
        <f>'BALANCE SHEET assumptions '!C7</f>
        <v>1897500.0299999996</v>
      </c>
      <c r="F14" s="21">
        <f>'BALANCE SHEET assumptions '!D7</f>
        <v>2182125.044999999</v>
      </c>
      <c r="G14" s="21">
        <f>'BALANCE SHEET assumptions '!E7</f>
        <v>2509443.8099999987</v>
      </c>
      <c r="H14" s="21">
        <f>'BALANCE SHEET assumptions '!F7</f>
        <v>2885860.3874999979</v>
      </c>
    </row>
    <row r="15" spans="1:9" x14ac:dyDescent="0.25">
      <c r="A15" s="28"/>
      <c r="B15" s="28"/>
      <c r="C15" s="28"/>
      <c r="D15" s="21"/>
      <c r="E15" s="21"/>
      <c r="F15" s="21"/>
      <c r="G15" s="21"/>
      <c r="H15" s="21"/>
    </row>
    <row r="16" spans="1:9" x14ac:dyDescent="0.25">
      <c r="A16" s="28" t="s">
        <v>99</v>
      </c>
      <c r="B16" s="28"/>
      <c r="C16" s="28"/>
      <c r="D16" s="21">
        <f>SUM(D7,D8,D12,D14)</f>
        <v>16150000.015000001</v>
      </c>
      <c r="E16" s="21">
        <f t="shared" ref="E16:H16" si="0">SUM(E7,E8,E12,E14)</f>
        <v>16397500.029999999</v>
      </c>
      <c r="F16" s="21">
        <f t="shared" si="0"/>
        <v>16682125.044999998</v>
      </c>
      <c r="G16" s="21">
        <f t="shared" si="0"/>
        <v>17009443.809999999</v>
      </c>
      <c r="H16" s="21">
        <f t="shared" si="0"/>
        <v>17385860.387499999</v>
      </c>
    </row>
    <row r="17" spans="1:9" x14ac:dyDescent="0.25">
      <c r="A17" s="28"/>
      <c r="B17" s="28"/>
      <c r="C17" s="28"/>
      <c r="D17" s="21"/>
      <c r="E17" s="21"/>
      <c r="F17" s="21"/>
      <c r="G17" s="21"/>
      <c r="H17" s="21"/>
    </row>
    <row r="18" spans="1:9" ht="15.75" x14ac:dyDescent="0.25">
      <c r="A18" s="29" t="s">
        <v>49</v>
      </c>
      <c r="B18" s="28"/>
      <c r="C18" s="28"/>
      <c r="D18" s="21"/>
      <c r="E18" s="21"/>
      <c r="F18" s="21"/>
      <c r="G18" s="21"/>
      <c r="H18" s="21"/>
    </row>
    <row r="19" spans="1:9" x14ac:dyDescent="0.25">
      <c r="A19" s="78" t="s">
        <v>59</v>
      </c>
      <c r="B19" s="78"/>
      <c r="C19" s="78"/>
      <c r="D19" s="21">
        <f>'debt calculator'!H15</f>
        <v>3344810.076821018</v>
      </c>
      <c r="E19" s="21">
        <f>'debt calculator'!H16</f>
        <v>2624101.1613241378</v>
      </c>
      <c r="F19" s="21">
        <f>'debt calculator'!H17</f>
        <v>1831321.35427757</v>
      </c>
      <c r="G19" s="21">
        <f>'debt calculator'!H18</f>
        <v>959263.56652634521</v>
      </c>
      <c r="H19" s="21">
        <f>'debt calculator'!H19</f>
        <v>-2.0954757928848267E-9</v>
      </c>
    </row>
    <row r="20" spans="1:9" x14ac:dyDescent="0.25">
      <c r="A20" s="28"/>
      <c r="B20" s="28"/>
      <c r="C20" s="28"/>
      <c r="D20" s="21"/>
      <c r="E20" s="21"/>
      <c r="F20" s="21"/>
      <c r="G20" s="21"/>
      <c r="H20" s="21"/>
    </row>
    <row r="21" spans="1:9" x14ac:dyDescent="0.25">
      <c r="A21" s="28"/>
      <c r="B21" s="28"/>
      <c r="C21" s="28"/>
      <c r="D21" s="21"/>
      <c r="E21" s="21"/>
      <c r="F21" s="21"/>
      <c r="G21" s="21"/>
      <c r="H21" s="21"/>
    </row>
    <row r="22" spans="1:9" x14ac:dyDescent="0.25">
      <c r="A22" s="28"/>
      <c r="B22" s="28"/>
      <c r="C22" s="28"/>
      <c r="D22" s="21"/>
      <c r="E22" s="21"/>
      <c r="F22" s="21"/>
      <c r="G22" s="21"/>
      <c r="H22" s="21"/>
    </row>
    <row r="23" spans="1:9" ht="15.75" x14ac:dyDescent="0.25">
      <c r="A23" s="29" t="s">
        <v>50</v>
      </c>
      <c r="B23" s="28"/>
      <c r="C23" s="28"/>
      <c r="D23" s="21"/>
      <c r="E23" s="21"/>
      <c r="F23" s="21"/>
      <c r="G23" s="21"/>
      <c r="H23" s="21"/>
    </row>
    <row r="24" spans="1:9" x14ac:dyDescent="0.25">
      <c r="A24" s="78" t="s">
        <v>57</v>
      </c>
      <c r="B24" s="78"/>
      <c r="C24" s="78"/>
      <c r="D24" s="21">
        <f>'BALANCE SHEET assumptions '!B17</f>
        <v>850000</v>
      </c>
      <c r="E24" s="21">
        <f>'BALANCE SHEET assumptions '!C17</f>
        <v>624901.18577075098</v>
      </c>
      <c r="F24" s="21">
        <f>'BALANCE SHEET assumptions '!D17</f>
        <v>459413.51997375366</v>
      </c>
      <c r="G24" s="21">
        <f>'BALANCE SHEET assumptions '!E17</f>
        <v>337750.65104789805</v>
      </c>
      <c r="H24" s="21">
        <f>'BALANCE SHEET assumptions '!F17</f>
        <v>248306.80274667605</v>
      </c>
    </row>
    <row r="25" spans="1:9" x14ac:dyDescent="0.25">
      <c r="A25" s="78" t="s">
        <v>58</v>
      </c>
      <c r="B25" s="78"/>
      <c r="C25" s="78"/>
      <c r="D25" s="21">
        <f>'BALANCE SHEET assumptions '!B29</f>
        <v>450000</v>
      </c>
      <c r="E25" s="21">
        <f>'BALANCE SHEET assumptions '!C29</f>
        <v>517500</v>
      </c>
      <c r="F25" s="21">
        <f>'BALANCE SHEET assumptions '!D29</f>
        <v>595125</v>
      </c>
      <c r="G25" s="21">
        <f>'BALANCE SHEET assumptions '!E29</f>
        <v>684393.75</v>
      </c>
      <c r="H25" s="21">
        <f>'BALANCE SHEET assumptions '!F29</f>
        <v>787052.81249999988</v>
      </c>
    </row>
    <row r="26" spans="1:9" x14ac:dyDescent="0.25">
      <c r="A26" s="28" t="s">
        <v>123</v>
      </c>
      <c r="B26" s="28"/>
      <c r="C26" s="28"/>
      <c r="D26" s="21">
        <f>-('PROFIT LOSS STATEMENT'!C31*0.1)</f>
        <v>954100.02899999998</v>
      </c>
      <c r="E26" s="21">
        <f>-('PROFIT LOSS STATEMENT'!D31*0.1-D26)</f>
        <v>2329321.0589500535</v>
      </c>
      <c r="F26" s="21">
        <f>-('PROFIT LOSS STATEMENT'!E31*0.1-E26)</f>
        <v>4160202.6397879338</v>
      </c>
      <c r="G26" s="21">
        <f>-('PROFIT LOSS STATEMENT'!F31*0.1-F26)</f>
        <v>6490462.7418155037</v>
      </c>
      <c r="H26" s="21">
        <f>-('PROFIT LOSS STATEMENT'!G31*0.1-G26)</f>
        <v>9376319.634302672</v>
      </c>
      <c r="I26" s="21"/>
    </row>
    <row r="27" spans="1:9" x14ac:dyDescent="0.25">
      <c r="A27" s="28"/>
      <c r="B27" s="28"/>
      <c r="C27" s="28"/>
      <c r="D27" s="21"/>
      <c r="E27" s="21"/>
      <c r="F27" s="21"/>
      <c r="G27" s="21"/>
      <c r="H27" s="21"/>
    </row>
    <row r="28" spans="1:9" ht="15.75" x14ac:dyDescent="0.25">
      <c r="A28" s="29" t="s">
        <v>51</v>
      </c>
      <c r="B28" s="28"/>
      <c r="C28" s="28"/>
      <c r="D28" s="21"/>
      <c r="E28" s="21"/>
      <c r="F28" s="21"/>
      <c r="G28" s="21"/>
      <c r="H28" s="21"/>
    </row>
    <row r="29" spans="1:9" x14ac:dyDescent="0.25">
      <c r="A29" s="78" t="s">
        <v>60</v>
      </c>
      <c r="B29" s="78"/>
      <c r="C29" s="78"/>
      <c r="D29" s="21">
        <f>'balance sheet source'!N15</f>
        <v>21600000</v>
      </c>
      <c r="E29" s="21">
        <v>21600000</v>
      </c>
      <c r="F29" s="21">
        <v>21600000</v>
      </c>
      <c r="G29" s="21">
        <v>21600000</v>
      </c>
      <c r="H29" s="21">
        <v>21600000</v>
      </c>
    </row>
    <row r="30" spans="1:9" x14ac:dyDescent="0.25">
      <c r="A30" s="78" t="s">
        <v>61</v>
      </c>
      <c r="B30" s="78"/>
      <c r="C30" s="78"/>
      <c r="D30" s="21"/>
      <c r="E30" s="21">
        <f>D31+D30</f>
        <v>23359000.710000001</v>
      </c>
      <c r="F30" s="21">
        <f t="shared" ref="F30:H30" si="1">E31+E30</f>
        <v>57028205.236363389</v>
      </c>
      <c r="G30" s="21">
        <f t="shared" si="1"/>
        <v>101853237.04308391</v>
      </c>
      <c r="H30" s="21">
        <f t="shared" si="1"/>
        <v>158904432.64444858</v>
      </c>
    </row>
    <row r="31" spans="1:9" x14ac:dyDescent="0.25">
      <c r="A31" s="78" t="s">
        <v>62</v>
      </c>
      <c r="B31" s="78"/>
      <c r="C31" s="78"/>
      <c r="D31" s="21">
        <f>'PROFIT LOSS STATEMENT'!C34</f>
        <v>23359000.710000001</v>
      </c>
      <c r="E31" s="21">
        <f>'PROFIT LOSS STATEMENT'!D34</f>
        <v>33669204.526363388</v>
      </c>
      <c r="F31" s="21">
        <f>'PROFIT LOSS STATEMENT'!E34</f>
        <v>44825031.806720525</v>
      </c>
      <c r="G31" s="21">
        <f>'PROFIT LOSS STATEMENT'!F34</f>
        <v>57051195.601364665</v>
      </c>
      <c r="H31" s="21">
        <f>'PROFIT LOSS STATEMENT'!G34</f>
        <v>70653737.712616861</v>
      </c>
    </row>
    <row r="32" spans="1:9" x14ac:dyDescent="0.25">
      <c r="A32" s="78" t="s">
        <v>63</v>
      </c>
      <c r="B32" s="78"/>
      <c r="C32" s="78"/>
      <c r="D32" s="21"/>
      <c r="E32" s="21"/>
      <c r="F32" s="21"/>
      <c r="G32" s="21"/>
      <c r="H32" s="21"/>
    </row>
    <row r="33" spans="1:8" x14ac:dyDescent="0.25">
      <c r="A33" s="28"/>
      <c r="B33" s="28"/>
      <c r="C33" s="28"/>
      <c r="D33" s="21"/>
      <c r="E33" s="21"/>
      <c r="F33" s="21"/>
      <c r="G33" s="21"/>
      <c r="H33" s="21"/>
    </row>
    <row r="34" spans="1:8" x14ac:dyDescent="0.25">
      <c r="A34" s="30" t="s">
        <v>65</v>
      </c>
      <c r="B34" s="30"/>
      <c r="C34" s="30"/>
      <c r="D34" s="21">
        <f>SUM(D31,D29,D25,D24,D19)</f>
        <v>49603810.786821023</v>
      </c>
      <c r="E34" s="21">
        <f t="shared" ref="E34:H34" si="2">SUM(E31,E29,E25,E24,E19)</f>
        <v>59035706.873458274</v>
      </c>
      <c r="F34" s="21">
        <f t="shared" si="2"/>
        <v>69310891.680971846</v>
      </c>
      <c r="G34" s="21">
        <f t="shared" si="2"/>
        <v>80632603.568938911</v>
      </c>
      <c r="H34" s="21">
        <f t="shared" si="2"/>
        <v>93289097.327863544</v>
      </c>
    </row>
    <row r="37" spans="1:8" x14ac:dyDescent="0.25">
      <c r="D37" s="21">
        <f>D34-D16</f>
        <v>33453810.771821022</v>
      </c>
      <c r="E37" s="21">
        <f t="shared" ref="E37:H37" si="3">E34-E16</f>
        <v>42638206.843458273</v>
      </c>
      <c r="F37" s="21">
        <f t="shared" si="3"/>
        <v>52628766.635971844</v>
      </c>
      <c r="G37" s="21">
        <f t="shared" si="3"/>
        <v>63623159.758938909</v>
      </c>
      <c r="H37" s="21">
        <f t="shared" si="3"/>
        <v>75903236.940363541</v>
      </c>
    </row>
  </sheetData>
  <mergeCells count="12">
    <mergeCell ref="A32:C32"/>
    <mergeCell ref="A7:C7"/>
    <mergeCell ref="A8:C8"/>
    <mergeCell ref="A12:C12"/>
    <mergeCell ref="A13:C13"/>
    <mergeCell ref="A14:C14"/>
    <mergeCell ref="A19:C19"/>
    <mergeCell ref="A24:C24"/>
    <mergeCell ref="A25:C25"/>
    <mergeCell ref="A29:C29"/>
    <mergeCell ref="A30:C30"/>
    <mergeCell ref="A31:C3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9165-76DA-4A2D-9B94-3ED71D4BD5A7}">
  <sheetPr>
    <pageSetUpPr fitToPage="1"/>
  </sheetPr>
  <dimension ref="A1:I41"/>
  <sheetViews>
    <sheetView zoomScaleNormal="100" workbookViewId="0">
      <selection sqref="A1:G41"/>
    </sheetView>
  </sheetViews>
  <sheetFormatPr defaultRowHeight="15" x14ac:dyDescent="0.25"/>
  <cols>
    <col min="1" max="1" width="28" bestFit="1" customWidth="1"/>
    <col min="2" max="2" width="7.140625" bestFit="1" customWidth="1"/>
    <col min="3" max="3" width="15.5703125" bestFit="1" customWidth="1"/>
    <col min="4" max="4" width="16.28515625" bestFit="1" customWidth="1"/>
    <col min="5" max="7" width="16.5703125" bestFit="1" customWidth="1"/>
    <col min="9" max="9" width="14.28515625" bestFit="1" customWidth="1"/>
  </cols>
  <sheetData>
    <row r="1" spans="1:9" x14ac:dyDescent="0.25">
      <c r="A1" s="77" t="s">
        <v>140</v>
      </c>
      <c r="B1" s="77"/>
      <c r="C1" s="77"/>
      <c r="D1" s="77"/>
      <c r="E1" s="77"/>
      <c r="F1" s="77"/>
      <c r="G1" s="77"/>
    </row>
    <row r="2" spans="1:9" x14ac:dyDescent="0.25">
      <c r="A2" s="77"/>
      <c r="B2" s="77"/>
      <c r="C2" s="77"/>
      <c r="D2" s="77"/>
      <c r="E2" s="77"/>
      <c r="F2" s="77"/>
      <c r="G2" s="77"/>
    </row>
    <row r="4" spans="1:9" ht="15.75" x14ac:dyDescent="0.25">
      <c r="B4" s="58" t="s">
        <v>70</v>
      </c>
      <c r="C4" s="58">
        <v>1</v>
      </c>
      <c r="D4" s="58">
        <v>2</v>
      </c>
      <c r="E4" s="58">
        <v>3</v>
      </c>
      <c r="F4" s="58">
        <v>4</v>
      </c>
      <c r="G4" s="58">
        <v>5</v>
      </c>
    </row>
    <row r="5" spans="1:9" x14ac:dyDescent="0.25">
      <c r="B5" s="21"/>
      <c r="C5" s="21"/>
      <c r="D5" s="21"/>
      <c r="E5" s="21"/>
      <c r="F5" s="21"/>
      <c r="G5" s="21"/>
    </row>
    <row r="6" spans="1:9" x14ac:dyDescent="0.25">
      <c r="A6" t="s">
        <v>101</v>
      </c>
      <c r="B6" s="21"/>
      <c r="C6" s="21">
        <f>'PROFIT LOSS STATEMENT'!C34</f>
        <v>23359000.710000001</v>
      </c>
      <c r="D6" s="21">
        <f>'PROFIT LOSS STATEMENT'!D34</f>
        <v>33669204.526363388</v>
      </c>
      <c r="E6" s="21">
        <f>'PROFIT LOSS STATEMENT'!E34</f>
        <v>44825031.806720525</v>
      </c>
      <c r="F6" s="21">
        <f>'PROFIT LOSS STATEMENT'!F34</f>
        <v>57051195.601364665</v>
      </c>
      <c r="G6" s="21">
        <f>'PROFIT LOSS STATEMENT'!G34</f>
        <v>70653737.712616861</v>
      </c>
      <c r="H6" s="42"/>
    </row>
    <row r="7" spans="1:9" x14ac:dyDescent="0.25">
      <c r="A7" t="s">
        <v>100</v>
      </c>
      <c r="B7" s="21"/>
      <c r="C7" s="21">
        <f>-'PROFIT LOSS STATEMENT'!C31</f>
        <v>9541000.2899999991</v>
      </c>
      <c r="D7" s="21">
        <f>-'PROFIT LOSS STATEMENT'!D31</f>
        <v>13752210.299500536</v>
      </c>
      <c r="E7" s="21">
        <f>-'PROFIT LOSS STATEMENT'!E31</f>
        <v>18308815.808378804</v>
      </c>
      <c r="F7" s="21">
        <f>-'PROFIT LOSS STATEMENT'!F31</f>
        <v>23302601.020275705</v>
      </c>
      <c r="G7" s="21">
        <f>-'PROFIT LOSS STATEMENT'!G31</f>
        <v>28858568.924871672</v>
      </c>
      <c r="H7" s="42"/>
    </row>
    <row r="8" spans="1:9" x14ac:dyDescent="0.25">
      <c r="A8" t="s">
        <v>44</v>
      </c>
      <c r="B8" s="21"/>
      <c r="C8" s="21">
        <f>'PROFIT LOSS STATEMENT'!C29</f>
        <v>32900001</v>
      </c>
      <c r="D8" s="21">
        <f>'PROFIT LOSS STATEMENT'!D29</f>
        <v>47421414.82586392</v>
      </c>
      <c r="E8" s="21">
        <f>'PROFIT LOSS STATEMENT'!E29</f>
        <v>63133847.615099326</v>
      </c>
      <c r="F8" s="21">
        <f>'PROFIT LOSS STATEMENT'!F29</f>
        <v>80353796.621640369</v>
      </c>
      <c r="G8" s="21">
        <f>'PROFIT LOSS STATEMENT'!G29</f>
        <v>99512306.637488529</v>
      </c>
      <c r="I8" s="42">
        <f>'PROFIT LOSS STATEMENT'!C7*5%</f>
        <v>5500000.0500000007</v>
      </c>
    </row>
    <row r="9" spans="1:9" x14ac:dyDescent="0.25">
      <c r="B9" s="21"/>
      <c r="C9" s="21"/>
      <c r="D9" s="21"/>
      <c r="E9" s="21"/>
      <c r="F9" s="21"/>
      <c r="G9" s="21"/>
    </row>
    <row r="10" spans="1:9" x14ac:dyDescent="0.25">
      <c r="A10" t="s">
        <v>102</v>
      </c>
      <c r="B10" s="21"/>
      <c r="C10" s="21"/>
      <c r="D10" s="21"/>
      <c r="E10" s="21"/>
      <c r="F10" s="21"/>
      <c r="G10" s="21"/>
    </row>
    <row r="11" spans="1:9" x14ac:dyDescent="0.25">
      <c r="A11" s="63" t="s">
        <v>103</v>
      </c>
      <c r="B11" s="21"/>
      <c r="C11" s="21"/>
      <c r="D11" s="21"/>
      <c r="E11" s="21"/>
      <c r="F11" s="21"/>
      <c r="G11" s="21"/>
    </row>
    <row r="12" spans="1:9" x14ac:dyDescent="0.25">
      <c r="A12" s="63" t="s">
        <v>104</v>
      </c>
      <c r="B12" s="21"/>
      <c r="C12" s="21"/>
      <c r="D12" s="21"/>
      <c r="E12" s="21"/>
      <c r="F12" s="21"/>
      <c r="G12" s="21"/>
    </row>
    <row r="13" spans="1:9" x14ac:dyDescent="0.25">
      <c r="B13" s="21"/>
      <c r="C13" s="21"/>
      <c r="D13" s="21"/>
      <c r="E13" s="21"/>
      <c r="F13" s="21"/>
      <c r="G13" s="21"/>
    </row>
    <row r="14" spans="1:9" x14ac:dyDescent="0.25">
      <c r="B14" s="21"/>
      <c r="C14" s="23">
        <f>C8-C11-C12</f>
        <v>32900001</v>
      </c>
      <c r="D14" s="23">
        <f t="shared" ref="D14:G14" si="0">D8-D11-D12</f>
        <v>47421414.82586392</v>
      </c>
      <c r="E14" s="23">
        <f t="shared" si="0"/>
        <v>63133847.615099326</v>
      </c>
      <c r="F14" s="23">
        <f t="shared" si="0"/>
        <v>80353796.621640369</v>
      </c>
      <c r="G14" s="23">
        <f t="shared" si="0"/>
        <v>99512306.637488529</v>
      </c>
    </row>
    <row r="15" spans="1:9" x14ac:dyDescent="0.25">
      <c r="B15" s="21"/>
      <c r="C15" s="21"/>
      <c r="D15" s="21"/>
      <c r="E15" s="21"/>
      <c r="F15" s="21"/>
      <c r="G15" s="21"/>
    </row>
    <row r="16" spans="1:9" x14ac:dyDescent="0.25">
      <c r="B16" s="21"/>
      <c r="C16" s="21"/>
      <c r="D16" s="21"/>
      <c r="E16" s="21"/>
      <c r="F16" s="21"/>
      <c r="G16" s="21"/>
    </row>
    <row r="17" spans="1:7" x14ac:dyDescent="0.25">
      <c r="A17" t="s">
        <v>92</v>
      </c>
      <c r="B17" s="21"/>
      <c r="C17" s="21"/>
      <c r="D17" s="21">
        <f>SOFP!D12-SOFP!E12</f>
        <v>0</v>
      </c>
      <c r="E17" s="21">
        <f>SOFP!E12-SOFP!F12</f>
        <v>0</v>
      </c>
      <c r="F17" s="21">
        <f>SOFP!F12-SOFP!G12</f>
        <v>0</v>
      </c>
      <c r="G17" s="21">
        <f>SOFP!G12-SOFP!H12</f>
        <v>0</v>
      </c>
    </row>
    <row r="18" spans="1:7" x14ac:dyDescent="0.25">
      <c r="A18" t="s">
        <v>105</v>
      </c>
      <c r="B18" s="21"/>
      <c r="C18" s="21">
        <f>'balance sheet source'!$F$12-SOFP!D14</f>
        <v>0</v>
      </c>
      <c r="D18" s="21">
        <f>SOFP!D14-SOFP!E14</f>
        <v>-247500.0149999999</v>
      </c>
      <c r="E18" s="21">
        <f>SOFP!E14-SOFP!F14</f>
        <v>-284625.01499999943</v>
      </c>
      <c r="F18" s="21">
        <f>SOFP!F14-SOFP!G14</f>
        <v>-327318.76499999966</v>
      </c>
      <c r="G18" s="21">
        <f>SOFP!G14-SOFP!H14</f>
        <v>-376416.5774999992</v>
      </c>
    </row>
    <row r="19" spans="1:7" x14ac:dyDescent="0.25">
      <c r="A19" t="s">
        <v>106</v>
      </c>
      <c r="B19" s="21"/>
      <c r="C19" s="21">
        <f>SOFP!D14-'balance sheet source'!N10</f>
        <v>-149999.98500000034</v>
      </c>
      <c r="D19" s="21">
        <f>SOFP!E24-SOFP!D24</f>
        <v>-225098.81422924902</v>
      </c>
      <c r="E19" s="21">
        <f>SOFP!F24-SOFP!E24</f>
        <v>-165487.66579699732</v>
      </c>
      <c r="F19" s="21">
        <f>SOFP!G24-SOFP!F24</f>
        <v>-121662.86892585561</v>
      </c>
      <c r="G19" s="21">
        <f>SOFP!H24-SOFP!G24</f>
        <v>-89443.848301221995</v>
      </c>
    </row>
    <row r="20" spans="1:7" x14ac:dyDescent="0.25">
      <c r="A20" t="s">
        <v>122</v>
      </c>
      <c r="B20" s="21"/>
      <c r="C20" s="21">
        <f>'PROFIT LOSS STATEMENT'!C31*0.9</f>
        <v>-8586900.2609999999</v>
      </c>
      <c r="D20" s="21">
        <f>'PROFIT LOSS STATEMENT'!D31*0.9</f>
        <v>-12376989.269550484</v>
      </c>
      <c r="E20" s="21">
        <f>'PROFIT LOSS STATEMENT'!E31*0.9</f>
        <v>-16477934.227540925</v>
      </c>
      <c r="F20" s="21">
        <f>'PROFIT LOSS STATEMENT'!F31*0.9</f>
        <v>-20972340.918248136</v>
      </c>
      <c r="G20" s="21">
        <f>'PROFIT LOSS STATEMENT'!G31*0.9</f>
        <v>-25972712.032384504</v>
      </c>
    </row>
    <row r="21" spans="1:7" x14ac:dyDescent="0.25">
      <c r="B21" s="21"/>
      <c r="C21" s="21"/>
      <c r="D21" s="21"/>
      <c r="E21" s="21"/>
      <c r="F21" s="21"/>
      <c r="G21" s="21"/>
    </row>
    <row r="22" spans="1:7" x14ac:dyDescent="0.25">
      <c r="A22" t="s">
        <v>109</v>
      </c>
      <c r="B22" s="21"/>
      <c r="C22" s="21">
        <f>SUM(C14:C20)</f>
        <v>24163100.754000001</v>
      </c>
      <c r="D22" s="21">
        <f t="shared" ref="D22:G22" si="1">SUM(D14:D20)</f>
        <v>34571826.72708419</v>
      </c>
      <c r="E22" s="21">
        <f t="shared" si="1"/>
        <v>46205800.706761405</v>
      </c>
      <c r="F22" s="21">
        <f t="shared" si="1"/>
        <v>58932474.069466382</v>
      </c>
      <c r="G22" s="21">
        <f t="shared" si="1"/>
        <v>73073734.179302812</v>
      </c>
    </row>
    <row r="23" spans="1:7" x14ac:dyDescent="0.25">
      <c r="B23" s="21"/>
      <c r="C23" s="21"/>
      <c r="D23" s="21"/>
      <c r="E23" s="21"/>
      <c r="F23" s="21"/>
      <c r="G23" s="21"/>
    </row>
    <row r="24" spans="1:7" x14ac:dyDescent="0.25">
      <c r="A24" t="s">
        <v>110</v>
      </c>
      <c r="B24" s="21"/>
      <c r="C24" s="21">
        <f>'balance sheet source'!$F$5-SOFP!D7</f>
        <v>0</v>
      </c>
      <c r="D24" s="21">
        <f>SOFP!D7-SOFP!E7</f>
        <v>0</v>
      </c>
      <c r="E24" s="21">
        <f>SOFP!E7-SOFP!F7</f>
        <v>0</v>
      </c>
      <c r="F24" s="21">
        <f>SOFP!F7-SOFP!G7</f>
        <v>0</v>
      </c>
      <c r="G24" s="21">
        <f>SOFP!G7-SOFP!H7</f>
        <v>0</v>
      </c>
    </row>
    <row r="25" spans="1:7" x14ac:dyDescent="0.25">
      <c r="A25" t="s">
        <v>111</v>
      </c>
      <c r="B25" s="21"/>
      <c r="C25" s="21">
        <f>'balance sheet source'!$F$10-SOFP!D12</f>
        <v>0</v>
      </c>
      <c r="D25" s="21">
        <f>SOFP!D12-SOFP!E12</f>
        <v>0</v>
      </c>
      <c r="E25" s="21">
        <f>SOFP!E12-SOFP!F12</f>
        <v>0</v>
      </c>
      <c r="F25" s="21">
        <f>SOFP!F12-SOFP!G12</f>
        <v>0</v>
      </c>
      <c r="G25" s="21">
        <f>SOFP!G12-SOFP!H12</f>
        <v>0</v>
      </c>
    </row>
    <row r="26" spans="1:7" x14ac:dyDescent="0.25">
      <c r="B26" s="21"/>
      <c r="C26" s="21"/>
      <c r="D26" s="21"/>
      <c r="E26" s="21"/>
      <c r="F26" s="21"/>
      <c r="G26" s="21"/>
    </row>
    <row r="27" spans="1:7" x14ac:dyDescent="0.25">
      <c r="A27" t="s">
        <v>112</v>
      </c>
      <c r="B27" s="21"/>
      <c r="C27" s="21">
        <f>SUM(C24:C25)</f>
        <v>0</v>
      </c>
      <c r="D27" s="21">
        <f t="shared" ref="D27:G27" si="2">SUM(D24:D25)</f>
        <v>0</v>
      </c>
      <c r="E27" s="21">
        <f t="shared" si="2"/>
        <v>0</v>
      </c>
      <c r="F27" s="21">
        <f t="shared" si="2"/>
        <v>0</v>
      </c>
      <c r="G27" s="21">
        <f t="shared" si="2"/>
        <v>0</v>
      </c>
    </row>
    <row r="28" spans="1:7" x14ac:dyDescent="0.25">
      <c r="B28" s="21"/>
      <c r="C28" s="21"/>
      <c r="D28" s="21"/>
      <c r="E28" s="21"/>
      <c r="F28" s="21"/>
      <c r="G28" s="21"/>
    </row>
    <row r="29" spans="1:7" x14ac:dyDescent="0.25">
      <c r="B29" s="21"/>
      <c r="C29" s="21"/>
      <c r="D29" s="21"/>
      <c r="E29" s="21"/>
      <c r="F29" s="21"/>
      <c r="G29" s="21"/>
    </row>
    <row r="30" spans="1:7" x14ac:dyDescent="0.25">
      <c r="A30" t="s">
        <v>113</v>
      </c>
      <c r="B30" s="21"/>
      <c r="C30" s="21">
        <f>SOFP!D25-'balance sheet source'!N11</f>
        <v>0</v>
      </c>
      <c r="D30" s="21">
        <f>SOFP!E25-SOFP!D25</f>
        <v>67500</v>
      </c>
      <c r="E30" s="21">
        <f>SOFP!F25-SOFP!E25</f>
        <v>77625</v>
      </c>
      <c r="F30" s="21">
        <f>SOFP!G25-SOFP!F25</f>
        <v>89268.75</v>
      </c>
      <c r="G30" s="21">
        <f>SOFP!H25-SOFP!G25</f>
        <v>102659.06249999988</v>
      </c>
    </row>
    <row r="31" spans="1:7" x14ac:dyDescent="0.25">
      <c r="A31" t="s">
        <v>114</v>
      </c>
      <c r="B31" s="21"/>
      <c r="C31" s="21">
        <f>SOFP!D19-'balance sheet source'!N5</f>
        <v>-655189.92317898199</v>
      </c>
      <c r="D31" s="21">
        <f>SOFP!E19-SOFP!D19</f>
        <v>-720708.91549688019</v>
      </c>
      <c r="E31" s="21">
        <f>SOFP!F19-SOFP!E19</f>
        <v>-792779.80704656779</v>
      </c>
      <c r="F31" s="21">
        <f>SOFP!G19-SOFP!F19</f>
        <v>-872057.78775122482</v>
      </c>
      <c r="G31" s="21">
        <f>SOFP!H19-SOFP!G19</f>
        <v>-959263.56652634731</v>
      </c>
    </row>
    <row r="32" spans="1:7" x14ac:dyDescent="0.25">
      <c r="A32" t="s">
        <v>115</v>
      </c>
      <c r="B32" s="21"/>
      <c r="C32" s="21">
        <f>SOFP!D29-'balance sheet source'!N15</f>
        <v>0</v>
      </c>
      <c r="D32" s="21">
        <f>SOFP!E29-SOFP!D29</f>
        <v>0</v>
      </c>
      <c r="E32" s="21">
        <f>SOFP!F29-SOFP!E29</f>
        <v>0</v>
      </c>
      <c r="F32" s="21">
        <f>SOFP!G29-SOFP!F29</f>
        <v>0</v>
      </c>
      <c r="G32" s="21">
        <f>SOFP!H29-SOFP!G29</f>
        <v>0</v>
      </c>
    </row>
    <row r="33" spans="1:7" x14ac:dyDescent="0.25">
      <c r="A33" t="s">
        <v>116</v>
      </c>
      <c r="B33" s="21"/>
      <c r="C33" s="21">
        <f>SOFP!D32-'balance sheet source'!N18</f>
        <v>0</v>
      </c>
      <c r="D33" s="21">
        <f>SOFP!E32-SOFP!D32</f>
        <v>0</v>
      </c>
      <c r="E33" s="21">
        <f>SOFP!F32-SOFP!E32</f>
        <v>0</v>
      </c>
      <c r="F33" s="21">
        <f>SOFP!G32-SOFP!F32</f>
        <v>0</v>
      </c>
      <c r="G33" s="21">
        <f>SOFP!H32-SOFP!G32</f>
        <v>0</v>
      </c>
    </row>
    <row r="34" spans="1:7" x14ac:dyDescent="0.25">
      <c r="A34" t="s">
        <v>117</v>
      </c>
      <c r="B34" s="21"/>
      <c r="C34" s="21">
        <f>'PROFIT LOSS STATEMENT'!C27</f>
        <v>400000</v>
      </c>
      <c r="D34" s="21">
        <f>'PROFIT LOSS STATEMENT'!D27</f>
        <v>334481.0076821018</v>
      </c>
      <c r="E34" s="21">
        <f>'PROFIT LOSS STATEMENT'!E27</f>
        <v>262410.11613241379</v>
      </c>
      <c r="F34" s="21">
        <f>'PROFIT LOSS STATEMENT'!F27</f>
        <v>183132.13542775702</v>
      </c>
      <c r="G34" s="21">
        <f>'PROFIT LOSS STATEMENT'!G27</f>
        <v>183132.13542775702</v>
      </c>
    </row>
    <row r="35" spans="1:7" x14ac:dyDescent="0.25">
      <c r="A35" t="s">
        <v>124</v>
      </c>
      <c r="B35" s="21"/>
      <c r="C35" s="21">
        <f>'debt calculator'!G15</f>
        <v>-655189.92317898176</v>
      </c>
      <c r="D35" s="21">
        <f>'debt calculator'!G16</f>
        <v>-720708.91549687996</v>
      </c>
      <c r="E35" s="21">
        <f>'debt calculator'!G17</f>
        <v>-792779.80704656802</v>
      </c>
      <c r="F35" s="21">
        <f>'debt calculator'!G18</f>
        <v>-872057.78775122471</v>
      </c>
      <c r="G35" s="21">
        <f>'debt calculator'!G19</f>
        <v>-959263.56652634719</v>
      </c>
    </row>
    <row r="36" spans="1:7" x14ac:dyDescent="0.25">
      <c r="B36" s="21"/>
      <c r="C36" s="21"/>
      <c r="D36" s="21"/>
      <c r="E36" s="21"/>
      <c r="F36" s="21"/>
      <c r="G36" s="21"/>
    </row>
    <row r="37" spans="1:7" ht="30" x14ac:dyDescent="0.25">
      <c r="A37" s="65" t="s">
        <v>118</v>
      </c>
      <c r="B37" s="21"/>
      <c r="C37" s="21">
        <f>SUM(C30:C34)</f>
        <v>-255189.92317898199</v>
      </c>
      <c r="D37" s="21">
        <f t="shared" ref="D37:G37" si="3">SUM(D30:D34)</f>
        <v>-318727.90781477839</v>
      </c>
      <c r="E37" s="21">
        <f t="shared" si="3"/>
        <v>-452744.69091415399</v>
      </c>
      <c r="F37" s="21">
        <f t="shared" si="3"/>
        <v>-599656.90232346777</v>
      </c>
      <c r="G37" s="21">
        <f t="shared" si="3"/>
        <v>-673472.36859859037</v>
      </c>
    </row>
    <row r="38" spans="1:7" x14ac:dyDescent="0.25">
      <c r="B38" s="21"/>
      <c r="C38" s="21"/>
      <c r="D38" s="21"/>
      <c r="E38" s="21"/>
      <c r="F38" s="21"/>
      <c r="G38" s="21"/>
    </row>
    <row r="39" spans="1:7" x14ac:dyDescent="0.25">
      <c r="A39" t="s">
        <v>119</v>
      </c>
      <c r="B39" s="21"/>
      <c r="C39" s="21">
        <f>SUM(C37,C27,C22)</f>
        <v>23907910.830821019</v>
      </c>
      <c r="D39" s="21">
        <f t="shared" ref="D39:G39" si="4">SUM(D37,D27,D22)</f>
        <v>34253098.819269411</v>
      </c>
      <c r="E39" s="21">
        <f t="shared" si="4"/>
        <v>45753056.015847251</v>
      </c>
      <c r="F39" s="21">
        <f t="shared" si="4"/>
        <v>58332817.167142913</v>
      </c>
      <c r="G39" s="21">
        <f t="shared" si="4"/>
        <v>72400261.810704216</v>
      </c>
    </row>
    <row r="40" spans="1:7" x14ac:dyDescent="0.25">
      <c r="A40" t="s">
        <v>120</v>
      </c>
      <c r="B40" s="21"/>
      <c r="C40" s="21">
        <f>'balance sheet source'!F11</f>
        <v>12073749.99</v>
      </c>
      <c r="D40" s="21">
        <f>C41</f>
        <v>35981660.820821017</v>
      </c>
      <c r="E40" s="21">
        <f t="shared" ref="E40:G40" si="5">D41</f>
        <v>70234759.640090436</v>
      </c>
      <c r="F40" s="21">
        <f t="shared" si="5"/>
        <v>115987815.65593769</v>
      </c>
      <c r="G40" s="21">
        <f t="shared" si="5"/>
        <v>174320632.8230806</v>
      </c>
    </row>
    <row r="41" spans="1:7" x14ac:dyDescent="0.25">
      <c r="A41" t="s">
        <v>121</v>
      </c>
      <c r="B41" s="21"/>
      <c r="C41" s="21">
        <f>C39+C40</f>
        <v>35981660.820821017</v>
      </c>
      <c r="D41" s="21">
        <f t="shared" ref="D41:G41" si="6">D39+D40</f>
        <v>70234759.640090436</v>
      </c>
      <c r="E41" s="21">
        <f t="shared" si="6"/>
        <v>115987815.65593769</v>
      </c>
      <c r="F41" s="21">
        <f t="shared" si="6"/>
        <v>174320632.8230806</v>
      </c>
      <c r="G41" s="21">
        <f t="shared" si="6"/>
        <v>246720894.63378483</v>
      </c>
    </row>
  </sheetData>
  <mergeCells count="1">
    <mergeCell ref="A1:G2"/>
  </mergeCells>
  <pageMargins left="0.25" right="0.25" top="0.75" bottom="0.75" header="0.3" footer="0.3"/>
  <pageSetup paperSize="6" scale="8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4F2-71FF-4CD4-880C-DE12B662AF56}">
  <dimension ref="A1:H119"/>
  <sheetViews>
    <sheetView zoomScaleNormal="100" workbookViewId="0">
      <selection sqref="A1:F83"/>
    </sheetView>
  </sheetViews>
  <sheetFormatPr defaultRowHeight="15" x14ac:dyDescent="0.25"/>
  <cols>
    <col min="1" max="1" width="16.42578125" bestFit="1" customWidth="1"/>
    <col min="2" max="6" width="20.42578125" bestFit="1" customWidth="1"/>
  </cols>
  <sheetData>
    <row r="1" spans="1:8" ht="15" customHeight="1" x14ac:dyDescent="0.25">
      <c r="A1" s="69" t="s">
        <v>46</v>
      </c>
      <c r="B1" s="69"/>
      <c r="C1" s="69"/>
      <c r="D1" s="69"/>
      <c r="E1" s="69"/>
      <c r="F1" s="69"/>
    </row>
    <row r="2" spans="1:8" ht="15" customHeight="1" x14ac:dyDescent="0.25">
      <c r="A2" s="69"/>
      <c r="B2" s="69"/>
      <c r="C2" s="69"/>
      <c r="D2" s="69"/>
      <c r="E2" s="69"/>
      <c r="F2" s="69"/>
    </row>
    <row r="3" spans="1:8" ht="15" customHeight="1" x14ac:dyDescent="0.5">
      <c r="A3" s="32"/>
      <c r="B3" s="32"/>
      <c r="C3" s="38"/>
      <c r="D3" s="38"/>
      <c r="E3" s="38"/>
      <c r="F3" s="38"/>
      <c r="G3" s="39"/>
      <c r="H3" s="39"/>
    </row>
    <row r="4" spans="1:8" ht="15" customHeight="1" x14ac:dyDescent="0.5">
      <c r="A4" s="32"/>
      <c r="B4" s="32"/>
      <c r="C4" s="38"/>
      <c r="D4" s="41">
        <v>1</v>
      </c>
      <c r="E4" s="40" t="s">
        <v>73</v>
      </c>
      <c r="F4" s="43">
        <v>0.15</v>
      </c>
      <c r="G4" s="39"/>
      <c r="H4" s="39"/>
    </row>
    <row r="5" spans="1:8" s="35" customFormat="1" ht="15.75" x14ac:dyDescent="0.25">
      <c r="A5" s="34"/>
      <c r="B5" s="33" t="s">
        <v>76</v>
      </c>
      <c r="C5" s="46">
        <v>1</v>
      </c>
      <c r="D5" s="41">
        <v>2</v>
      </c>
      <c r="E5" s="40" t="s">
        <v>74</v>
      </c>
      <c r="F5" s="44"/>
      <c r="G5" s="39"/>
      <c r="H5" s="39"/>
    </row>
    <row r="6" spans="1:8" ht="15" customHeight="1" x14ac:dyDescent="0.5">
      <c r="A6" s="32"/>
      <c r="B6" s="32"/>
      <c r="C6" s="38"/>
      <c r="D6" s="41">
        <v>3</v>
      </c>
      <c r="E6" s="40" t="s">
        <v>75</v>
      </c>
      <c r="F6" s="43">
        <v>-0.2</v>
      </c>
      <c r="G6" s="39"/>
      <c r="H6" s="39"/>
    </row>
    <row r="7" spans="1:8" ht="15" customHeight="1" x14ac:dyDescent="0.5">
      <c r="A7" s="32"/>
      <c r="B7" s="32"/>
      <c r="C7" s="38"/>
      <c r="D7" s="41"/>
      <c r="E7" s="41"/>
      <c r="F7" s="39"/>
      <c r="G7" s="39"/>
      <c r="H7" s="39"/>
    </row>
    <row r="8" spans="1:8" x14ac:dyDescent="0.25">
      <c r="A8" s="9" t="s">
        <v>70</v>
      </c>
      <c r="B8" s="9">
        <v>1</v>
      </c>
      <c r="C8" s="9">
        <v>2</v>
      </c>
      <c r="D8" s="9">
        <v>3</v>
      </c>
      <c r="E8" s="9">
        <v>4</v>
      </c>
      <c r="F8" s="9">
        <v>5</v>
      </c>
    </row>
    <row r="10" spans="1:8" s="26" customFormat="1" ht="15.75" x14ac:dyDescent="0.25">
      <c r="A10" s="37" t="s">
        <v>2</v>
      </c>
      <c r="B10" s="30">
        <f>B12+B18+B25</f>
        <v>110000000</v>
      </c>
      <c r="C10" s="30">
        <f>C12+C18+C25</f>
        <v>126500000</v>
      </c>
      <c r="D10" s="30">
        <f>D12+D18+D25</f>
        <v>145474999.99999997</v>
      </c>
      <c r="E10" s="30">
        <f>E12+E18+E25</f>
        <v>167296249.99999994</v>
      </c>
      <c r="F10" s="30">
        <f>F12+F18+F25</f>
        <v>192390687.49999991</v>
      </c>
    </row>
    <row r="12" spans="1:8" s="26" customFormat="1" x14ac:dyDescent="0.25">
      <c r="A12" s="26" t="str">
        <f>'REVENUE COST '!B4</f>
        <v xml:space="preserve">R-stream 1 </v>
      </c>
      <c r="B12" s="27">
        <f>'profit loss statement SOURCE'!C4</f>
        <v>40000000</v>
      </c>
      <c r="C12" s="27">
        <f>B12*(1+C13)</f>
        <v>46000000</v>
      </c>
      <c r="D12" s="27">
        <f>C12*(1+D13)</f>
        <v>52899999.999999993</v>
      </c>
      <c r="E12" s="27">
        <f>D12*(1+E13)</f>
        <v>60834999.999999985</v>
      </c>
      <c r="F12" s="27">
        <f>E12*(1+F13)</f>
        <v>69960249.99999997</v>
      </c>
    </row>
    <row r="13" spans="1:8" x14ac:dyDescent="0.25">
      <c r="A13" t="s">
        <v>72</v>
      </c>
      <c r="B13" s="47">
        <f>CHOOSE($C$5,$B$14,$B$15,$B$16)</f>
        <v>0.15</v>
      </c>
      <c r="C13" s="47">
        <f t="shared" ref="C13:F13" si="0">CHOOSE($C$5,$B$14,$B$15,$B$16)</f>
        <v>0.15</v>
      </c>
      <c r="D13" s="47">
        <f t="shared" si="0"/>
        <v>0.15</v>
      </c>
      <c r="E13" s="47">
        <f t="shared" si="0"/>
        <v>0.15</v>
      </c>
      <c r="F13" s="47">
        <f t="shared" si="0"/>
        <v>0.15</v>
      </c>
    </row>
    <row r="14" spans="1:8" x14ac:dyDescent="0.25">
      <c r="A14" t="s">
        <v>67</v>
      </c>
      <c r="B14" s="48">
        <v>0.15</v>
      </c>
      <c r="C14" s="48">
        <v>0.15</v>
      </c>
      <c r="D14" s="48">
        <v>0.15</v>
      </c>
      <c r="E14" s="48">
        <v>0.15</v>
      </c>
      <c r="F14" s="48">
        <v>0.15</v>
      </c>
    </row>
    <row r="15" spans="1:8" x14ac:dyDescent="0.25">
      <c r="A15" t="s">
        <v>68</v>
      </c>
      <c r="B15" s="48">
        <v>0.1</v>
      </c>
      <c r="C15" s="48">
        <v>0.1</v>
      </c>
      <c r="D15" s="48">
        <v>0.1</v>
      </c>
      <c r="E15" s="48">
        <v>0.1</v>
      </c>
      <c r="F15" s="48">
        <v>0.1</v>
      </c>
    </row>
    <row r="16" spans="1:8" x14ac:dyDescent="0.25">
      <c r="A16" t="s">
        <v>69</v>
      </c>
      <c r="B16" s="48">
        <v>0.05</v>
      </c>
      <c r="C16" s="48">
        <v>0.05</v>
      </c>
      <c r="D16" s="48">
        <v>0.05</v>
      </c>
      <c r="E16" s="48">
        <v>0.05</v>
      </c>
      <c r="F16" s="48">
        <v>0.05</v>
      </c>
    </row>
    <row r="18" spans="1:6" x14ac:dyDescent="0.25">
      <c r="A18" s="26" t="str">
        <f>'REVENUE COST '!B18</f>
        <v>R-stream 2</v>
      </c>
      <c r="B18" s="30">
        <f>'profit loss statement SOURCE'!C5</f>
        <v>20000000</v>
      </c>
      <c r="C18" s="30">
        <f>B18*(1+C19)</f>
        <v>23000000</v>
      </c>
      <c r="D18" s="30">
        <f>C18*(1+D19)</f>
        <v>26449999.999999996</v>
      </c>
      <c r="E18" s="30">
        <f>D18*(1+E19)</f>
        <v>30417499.999999993</v>
      </c>
      <c r="F18" s="30">
        <f>E18*(1+F19)</f>
        <v>34980124.999999985</v>
      </c>
    </row>
    <row r="19" spans="1:6" x14ac:dyDescent="0.25">
      <c r="A19" t="s">
        <v>72</v>
      </c>
      <c r="B19" s="47">
        <f>CHOOSE($C$5,$B$14,$B$15,$B$16)</f>
        <v>0.15</v>
      </c>
      <c r="C19" s="47">
        <f t="shared" ref="C19:F19" si="1">CHOOSE($C$5,$B$14,$B$15,$B$16)</f>
        <v>0.15</v>
      </c>
      <c r="D19" s="47">
        <f t="shared" si="1"/>
        <v>0.15</v>
      </c>
      <c r="E19" s="47">
        <f t="shared" si="1"/>
        <v>0.15</v>
      </c>
      <c r="F19" s="47">
        <f t="shared" si="1"/>
        <v>0.15</v>
      </c>
    </row>
    <row r="20" spans="1:6" x14ac:dyDescent="0.25">
      <c r="A20" t="s">
        <v>67</v>
      </c>
      <c r="B20" s="48">
        <v>0.15</v>
      </c>
      <c r="C20" s="48">
        <v>0.15</v>
      </c>
      <c r="D20" s="48">
        <v>0.15</v>
      </c>
      <c r="E20" s="48">
        <v>0.15</v>
      </c>
      <c r="F20" s="48">
        <v>0.15</v>
      </c>
    </row>
    <row r="21" spans="1:6" x14ac:dyDescent="0.25">
      <c r="A21" t="s">
        <v>68</v>
      </c>
      <c r="B21" s="48">
        <v>0.1</v>
      </c>
      <c r="C21" s="48">
        <v>0.1</v>
      </c>
      <c r="D21" s="48">
        <v>0.1</v>
      </c>
      <c r="E21" s="48">
        <v>0.1</v>
      </c>
      <c r="F21" s="48">
        <v>0.1</v>
      </c>
    </row>
    <row r="22" spans="1:6" x14ac:dyDescent="0.25">
      <c r="A22" t="s">
        <v>69</v>
      </c>
      <c r="B22" s="48">
        <v>0.05</v>
      </c>
      <c r="C22" s="48">
        <v>0.05</v>
      </c>
      <c r="D22" s="48">
        <v>0.05</v>
      </c>
      <c r="E22" s="48">
        <v>0.05</v>
      </c>
      <c r="F22" s="48">
        <v>0.05</v>
      </c>
    </row>
    <row r="23" spans="1:6" x14ac:dyDescent="0.25">
      <c r="B23" s="45"/>
      <c r="C23" s="45"/>
      <c r="D23" s="45"/>
      <c r="E23" s="45"/>
      <c r="F23" s="45"/>
    </row>
    <row r="24" spans="1:6" x14ac:dyDescent="0.25">
      <c r="B24" s="45"/>
      <c r="C24" s="45"/>
      <c r="D24" s="45"/>
      <c r="E24" s="45"/>
      <c r="F24" s="45"/>
    </row>
    <row r="25" spans="1:6" s="26" customFormat="1" x14ac:dyDescent="0.25">
      <c r="A25" s="26" t="str">
        <f>'REVENUE COST '!B25</f>
        <v>R-stream 3</v>
      </c>
      <c r="B25" s="27">
        <f>'profit loss statement SOURCE'!C6</f>
        <v>50000000</v>
      </c>
      <c r="C25" s="27">
        <f>B25*(1+C26)</f>
        <v>57499999.999999993</v>
      </c>
      <c r="D25" s="27">
        <f>C25*(1+D26)</f>
        <v>66124999.999999985</v>
      </c>
      <c r="E25" s="27">
        <f>D25*(1+E26)</f>
        <v>76043749.99999997</v>
      </c>
      <c r="F25" s="27">
        <f>E25*(1+F26)</f>
        <v>87450312.499999955</v>
      </c>
    </row>
    <row r="26" spans="1:6" x14ac:dyDescent="0.25">
      <c r="A26" t="s">
        <v>72</v>
      </c>
      <c r="B26" s="47">
        <f>CHOOSE($C$5,$B$14,$B$15,$B$16)</f>
        <v>0.15</v>
      </c>
      <c r="C26" s="47">
        <f t="shared" ref="C26:F26" si="2">CHOOSE($C$5,$B$14,$B$15,$B$16)</f>
        <v>0.15</v>
      </c>
      <c r="D26" s="47">
        <f t="shared" si="2"/>
        <v>0.15</v>
      </c>
      <c r="E26" s="47">
        <f t="shared" si="2"/>
        <v>0.15</v>
      </c>
      <c r="F26" s="47">
        <f t="shared" si="2"/>
        <v>0.15</v>
      </c>
    </row>
    <row r="27" spans="1:6" x14ac:dyDescent="0.25">
      <c r="A27" t="s">
        <v>67</v>
      </c>
      <c r="B27" s="48">
        <v>0.15</v>
      </c>
      <c r="C27" s="48">
        <v>0.15</v>
      </c>
      <c r="D27" s="48">
        <v>0.15</v>
      </c>
      <c r="E27" s="48">
        <v>0.15</v>
      </c>
      <c r="F27" s="48">
        <v>0.15</v>
      </c>
    </row>
    <row r="28" spans="1:6" x14ac:dyDescent="0.25">
      <c r="A28" t="s">
        <v>68</v>
      </c>
      <c r="B28" s="48">
        <v>0.1</v>
      </c>
      <c r="C28" s="48">
        <v>0.1</v>
      </c>
      <c r="D28" s="48">
        <v>0.1</v>
      </c>
      <c r="E28" s="48">
        <v>0.1</v>
      </c>
      <c r="F28" s="48">
        <v>0.1</v>
      </c>
    </row>
    <row r="29" spans="1:6" x14ac:dyDescent="0.25">
      <c r="A29" t="s">
        <v>69</v>
      </c>
      <c r="B29" s="48">
        <v>0.05</v>
      </c>
      <c r="C29" s="48">
        <v>0.05</v>
      </c>
      <c r="D29" s="48">
        <v>0.05</v>
      </c>
      <c r="E29" s="48">
        <v>0.05</v>
      </c>
      <c r="F29" s="48">
        <v>0.05</v>
      </c>
    </row>
    <row r="31" spans="1:6" ht="15.75" x14ac:dyDescent="0.25">
      <c r="A31" s="37" t="s">
        <v>71</v>
      </c>
      <c r="B31" s="30">
        <f>SUM(B33,B39,B46)</f>
        <v>-36000000</v>
      </c>
      <c r="C31" s="30">
        <f>SUM(C33,C39,C46)</f>
        <v>-41400000</v>
      </c>
      <c r="D31" s="30">
        <f>SUM(D33,D39,D46)</f>
        <v>-47610000</v>
      </c>
      <c r="E31" s="30">
        <f>SUM(E33,E39,E46)</f>
        <v>-54751499.999999993</v>
      </c>
      <c r="F31" s="30">
        <f>SUM(F33,F39,F46)</f>
        <v>-62964224.999999985</v>
      </c>
    </row>
    <row r="32" spans="1:6" x14ac:dyDescent="0.25">
      <c r="B32" s="30"/>
      <c r="C32" s="30"/>
      <c r="D32" s="30"/>
      <c r="E32" s="30"/>
      <c r="F32" s="30"/>
    </row>
    <row r="33" spans="1:6" s="26" customFormat="1" x14ac:dyDescent="0.25">
      <c r="A33" s="26" t="str">
        <f>'profit loss statement SOURCE'!B9</f>
        <v xml:space="preserve">C-stream 1 </v>
      </c>
      <c r="B33" s="30">
        <f>'profit loss statement SOURCE'!C9</f>
        <v>-15000000</v>
      </c>
      <c r="C33" s="30">
        <f>B33*(1+C34)</f>
        <v>-17250000</v>
      </c>
      <c r="D33" s="30">
        <f>C33*(1+D34)</f>
        <v>-19837500</v>
      </c>
      <c r="E33" s="30">
        <f>D33*(1+E34)</f>
        <v>-22813125</v>
      </c>
      <c r="F33" s="30">
        <f>E33*(1+F34)</f>
        <v>-26235093.749999996</v>
      </c>
    </row>
    <row r="34" spans="1:6" x14ac:dyDescent="0.25">
      <c r="A34" t="s">
        <v>72</v>
      </c>
      <c r="B34" s="47">
        <f>CHOOSE($C$5,$B$14,$B$15,$B$16)</f>
        <v>0.15</v>
      </c>
      <c r="C34" s="47">
        <f t="shared" ref="C34:F34" si="3">CHOOSE($C$5,$B$14,$B$15,$B$16)</f>
        <v>0.15</v>
      </c>
      <c r="D34" s="47">
        <f t="shared" si="3"/>
        <v>0.15</v>
      </c>
      <c r="E34" s="47">
        <f t="shared" si="3"/>
        <v>0.15</v>
      </c>
      <c r="F34" s="47">
        <f t="shared" si="3"/>
        <v>0.15</v>
      </c>
    </row>
    <row r="35" spans="1:6" x14ac:dyDescent="0.25">
      <c r="A35" t="s">
        <v>67</v>
      </c>
      <c r="B35" s="48">
        <v>0.15</v>
      </c>
      <c r="C35" s="48">
        <v>0.15</v>
      </c>
      <c r="D35" s="48">
        <v>0.15</v>
      </c>
      <c r="E35" s="48">
        <v>0.15</v>
      </c>
      <c r="F35" s="48">
        <v>0.15</v>
      </c>
    </row>
    <row r="36" spans="1:6" x14ac:dyDescent="0.25">
      <c r="A36" t="s">
        <v>68</v>
      </c>
      <c r="B36" s="48">
        <v>0.1</v>
      </c>
      <c r="C36" s="48">
        <v>0.1</v>
      </c>
      <c r="D36" s="48">
        <v>0.1</v>
      </c>
      <c r="E36" s="48">
        <v>0.1</v>
      </c>
      <c r="F36" s="48">
        <v>0.1</v>
      </c>
    </row>
    <row r="37" spans="1:6" x14ac:dyDescent="0.25">
      <c r="A37" t="s">
        <v>69</v>
      </c>
      <c r="B37" s="48">
        <v>0.05</v>
      </c>
      <c r="C37" s="48">
        <v>0.05</v>
      </c>
      <c r="D37" s="48">
        <v>0.05</v>
      </c>
      <c r="E37" s="48">
        <v>0.05</v>
      </c>
      <c r="F37" s="48">
        <v>0.05</v>
      </c>
    </row>
    <row r="39" spans="1:6" s="26" customFormat="1" x14ac:dyDescent="0.25">
      <c r="A39" s="26" t="str">
        <f>'profit loss statement SOURCE'!B10</f>
        <v>C-stream 2</v>
      </c>
      <c r="B39" s="30">
        <f>'profit loss statement SOURCE'!C10</f>
        <v>-1000000</v>
      </c>
      <c r="C39" s="30">
        <f>B39*(1+C40)</f>
        <v>-1150000</v>
      </c>
      <c r="D39" s="30">
        <f>C39*(1+D40)</f>
        <v>-1322500</v>
      </c>
      <c r="E39" s="30">
        <f>D39*(1+E40)</f>
        <v>-1520874.9999999998</v>
      </c>
      <c r="F39" s="30">
        <f>E39*(1+F40)</f>
        <v>-1749006.2499999995</v>
      </c>
    </row>
    <row r="40" spans="1:6" x14ac:dyDescent="0.25">
      <c r="A40" t="s">
        <v>72</v>
      </c>
      <c r="B40" s="47">
        <f>CHOOSE($C$5,$B$14,$B$15,$B$16)</f>
        <v>0.15</v>
      </c>
      <c r="C40" s="47">
        <f t="shared" ref="C40:F40" si="4">CHOOSE($C$5,$B$14,$B$15,$B$16)</f>
        <v>0.15</v>
      </c>
      <c r="D40" s="47">
        <f t="shared" si="4"/>
        <v>0.15</v>
      </c>
      <c r="E40" s="47">
        <f t="shared" si="4"/>
        <v>0.15</v>
      </c>
      <c r="F40" s="47">
        <f t="shared" si="4"/>
        <v>0.15</v>
      </c>
    </row>
    <row r="41" spans="1:6" x14ac:dyDescent="0.25">
      <c r="A41" t="s">
        <v>67</v>
      </c>
      <c r="B41" s="48">
        <v>0.15</v>
      </c>
      <c r="C41" s="48">
        <v>0.15</v>
      </c>
      <c r="D41" s="48">
        <v>0.15</v>
      </c>
      <c r="E41" s="48">
        <v>0.15</v>
      </c>
      <c r="F41" s="48">
        <v>0.15</v>
      </c>
    </row>
    <row r="42" spans="1:6" x14ac:dyDescent="0.25">
      <c r="A42" t="s">
        <v>68</v>
      </c>
      <c r="B42" s="48">
        <v>0.1</v>
      </c>
      <c r="C42" s="48">
        <v>0.1</v>
      </c>
      <c r="D42" s="48">
        <v>0.1</v>
      </c>
      <c r="E42" s="48">
        <v>0.1</v>
      </c>
      <c r="F42" s="48">
        <v>0.1</v>
      </c>
    </row>
    <row r="43" spans="1:6" x14ac:dyDescent="0.25">
      <c r="A43" t="s">
        <v>69</v>
      </c>
      <c r="B43" s="48">
        <v>0.05</v>
      </c>
      <c r="C43" s="48">
        <v>0.05</v>
      </c>
      <c r="D43" s="48">
        <v>0.05</v>
      </c>
      <c r="E43" s="48">
        <v>0.05</v>
      </c>
      <c r="F43" s="48">
        <v>0.05</v>
      </c>
    </row>
    <row r="46" spans="1:6" s="26" customFormat="1" x14ac:dyDescent="0.25">
      <c r="A46" s="26" t="str">
        <f>'profit loss statement SOURCE'!B11</f>
        <v>C-stream 3</v>
      </c>
      <c r="B46" s="30">
        <f>'profit loss statement SOURCE'!C11</f>
        <v>-20000000</v>
      </c>
      <c r="C46" s="30">
        <f>B46*(1+C47)</f>
        <v>-23000000</v>
      </c>
      <c r="D46" s="30">
        <f>C46*(1+D47)</f>
        <v>-26449999.999999996</v>
      </c>
      <c r="E46" s="30">
        <f>D46*(1+E47)</f>
        <v>-30417499.999999993</v>
      </c>
      <c r="F46" s="30">
        <f>E46*(1+F47)</f>
        <v>-34980124.999999985</v>
      </c>
    </row>
    <row r="47" spans="1:6" x14ac:dyDescent="0.25">
      <c r="A47" t="s">
        <v>72</v>
      </c>
      <c r="B47" s="47">
        <f>CHOOSE($C$5,$B$14,$B$15,$B$16)</f>
        <v>0.15</v>
      </c>
      <c r="C47" s="47">
        <f t="shared" ref="C47:F47" si="5">CHOOSE($C$5,$B$14,$B$15,$B$16)</f>
        <v>0.15</v>
      </c>
      <c r="D47" s="47">
        <f t="shared" si="5"/>
        <v>0.15</v>
      </c>
      <c r="E47" s="47">
        <f t="shared" si="5"/>
        <v>0.15</v>
      </c>
      <c r="F47" s="47">
        <f t="shared" si="5"/>
        <v>0.15</v>
      </c>
    </row>
    <row r="48" spans="1:6" x14ac:dyDescent="0.25">
      <c r="A48" t="s">
        <v>67</v>
      </c>
      <c r="B48" s="48">
        <v>0.15</v>
      </c>
      <c r="C48" s="48">
        <v>0.15</v>
      </c>
      <c r="D48" s="48">
        <v>0.15</v>
      </c>
      <c r="E48" s="48">
        <v>0.15</v>
      </c>
      <c r="F48" s="48">
        <v>0.15</v>
      </c>
    </row>
    <row r="49" spans="1:6" x14ac:dyDescent="0.25">
      <c r="A49" t="s">
        <v>68</v>
      </c>
      <c r="B49" s="48">
        <v>0.1</v>
      </c>
      <c r="C49" s="48">
        <v>0.1</v>
      </c>
      <c r="D49" s="48">
        <v>0.1</v>
      </c>
      <c r="E49" s="48">
        <v>0.1</v>
      </c>
      <c r="F49" s="48">
        <v>0.1</v>
      </c>
    </row>
    <row r="50" spans="1:6" x14ac:dyDescent="0.25">
      <c r="A50" t="s">
        <v>69</v>
      </c>
      <c r="B50" s="48">
        <v>0.05</v>
      </c>
      <c r="C50" s="48">
        <v>0.05</v>
      </c>
      <c r="D50" s="48">
        <v>0.05</v>
      </c>
      <c r="E50" s="48">
        <v>0.05</v>
      </c>
      <c r="F50" s="48">
        <v>0.05</v>
      </c>
    </row>
    <row r="52" spans="1:6" ht="15.75" x14ac:dyDescent="0.25">
      <c r="A52" s="37" t="s">
        <v>13</v>
      </c>
      <c r="B52" s="30">
        <f>SUM(B54,B61,B67,B73,B79,B85)</f>
        <v>-41500000</v>
      </c>
      <c r="C52" s="30">
        <f t="shared" ref="C52:F52" si="6">SUM(C54,C61,C67,C73,C79,C85)</f>
        <v>-38013068.18181818</v>
      </c>
      <c r="D52" s="30">
        <f t="shared" si="6"/>
        <v>-34993565.50103306</v>
      </c>
      <c r="E52" s="30">
        <f t="shared" si="6"/>
        <v>-32374089.513787337</v>
      </c>
      <c r="F52" s="30">
        <f t="shared" si="6"/>
        <v>-30097292.997939162</v>
      </c>
    </row>
    <row r="53" spans="1:6" x14ac:dyDescent="0.25">
      <c r="B53" s="30"/>
      <c r="C53" s="30"/>
      <c r="D53" s="30"/>
      <c r="E53" s="30"/>
      <c r="F53" s="30"/>
    </row>
    <row r="54" spans="1:6" x14ac:dyDescent="0.25">
      <c r="A54" s="26" t="str">
        <f>'profit loss statement SOURCE'!A16:B16</f>
        <v>PLATFORM</v>
      </c>
      <c r="B54" s="30">
        <f>B10*B55</f>
        <v>-17000000</v>
      </c>
      <c r="C54" s="30">
        <f>B54*(1+C55)</f>
        <v>-14372727.272727273</v>
      </c>
      <c r="D54" s="30">
        <f t="shared" ref="D54:F54" si="7">C54*(1+D55)</f>
        <v>-12151487.603305785</v>
      </c>
      <c r="E54" s="30">
        <f t="shared" si="7"/>
        <v>-10273530.428249437</v>
      </c>
      <c r="F54" s="30">
        <f t="shared" si="7"/>
        <v>-8685802.9984290693</v>
      </c>
    </row>
    <row r="55" spans="1:6" x14ac:dyDescent="0.25">
      <c r="A55" t="s">
        <v>78</v>
      </c>
      <c r="B55" s="47">
        <f>CHOOSE($C$5,B56,B57,B58)</f>
        <v>-0.15454545454545454</v>
      </c>
      <c r="C55" s="47">
        <f t="shared" ref="C55:F55" si="8">CHOOSE($C$5,C56,C57,C58)</f>
        <v>-0.15454545454545454</v>
      </c>
      <c r="D55" s="47">
        <f t="shared" si="8"/>
        <v>-0.15454545454545454</v>
      </c>
      <c r="E55" s="47">
        <f t="shared" si="8"/>
        <v>-0.15454545454545454</v>
      </c>
      <c r="F55" s="47">
        <f t="shared" si="8"/>
        <v>-0.15454545454545454</v>
      </c>
    </row>
    <row r="56" spans="1:6" x14ac:dyDescent="0.25">
      <c r="A56" t="s">
        <v>67</v>
      </c>
      <c r="B56" s="48">
        <f>$B57*(1-$F$4)</f>
        <v>-0.15454545454545454</v>
      </c>
      <c r="C56" s="48">
        <f t="shared" ref="C56:F56" si="9">$B57*(1-$F$4)</f>
        <v>-0.15454545454545454</v>
      </c>
      <c r="D56" s="48">
        <f t="shared" si="9"/>
        <v>-0.15454545454545454</v>
      </c>
      <c r="E56" s="48">
        <f t="shared" si="9"/>
        <v>-0.15454545454545454</v>
      </c>
      <c r="F56" s="48">
        <f t="shared" si="9"/>
        <v>-0.15454545454545454</v>
      </c>
    </row>
    <row r="57" spans="1:6" x14ac:dyDescent="0.25">
      <c r="A57" t="s">
        <v>68</v>
      </c>
      <c r="B57" s="48">
        <f>'profit loss statement SOURCE'!G16</f>
        <v>-0.18181818181818182</v>
      </c>
      <c r="C57" s="48">
        <v>-0.12</v>
      </c>
      <c r="D57" s="48">
        <v>-0.12</v>
      </c>
      <c r="E57" s="48">
        <v>-0.12</v>
      </c>
      <c r="F57" s="48">
        <v>-0.12</v>
      </c>
    </row>
    <row r="58" spans="1:6" x14ac:dyDescent="0.25">
      <c r="A58" t="s">
        <v>69</v>
      </c>
      <c r="B58" s="48">
        <f>$B57*(1+$F$6)</f>
        <v>-0.14545454545454548</v>
      </c>
      <c r="C58" s="48">
        <f t="shared" ref="C58:F58" si="10">$B57*(1-$F$6)</f>
        <v>-0.21818181818181817</v>
      </c>
      <c r="D58" s="48">
        <f t="shared" si="10"/>
        <v>-0.21818181818181817</v>
      </c>
      <c r="E58" s="48">
        <f t="shared" si="10"/>
        <v>-0.21818181818181817</v>
      </c>
      <c r="F58" s="48">
        <f t="shared" si="10"/>
        <v>-0.21818181818181817</v>
      </c>
    </row>
    <row r="59" spans="1:6" x14ac:dyDescent="0.25">
      <c r="B59" s="45"/>
      <c r="C59" s="45"/>
      <c r="D59" s="45"/>
      <c r="E59" s="45"/>
      <c r="F59" s="45"/>
    </row>
    <row r="61" spans="1:6" x14ac:dyDescent="0.25">
      <c r="A61" s="26" t="str">
        <f>'profit loss statement SOURCE'!A17:B17</f>
        <v>RENTAL</v>
      </c>
      <c r="B61" s="30">
        <f>'profit loss statement SOURCE'!C17</f>
        <v>-1000000</v>
      </c>
      <c r="C61" s="30">
        <f>B61*(1+C62)</f>
        <v>-992272.72727272729</v>
      </c>
      <c r="D61" s="30">
        <f t="shared" ref="D61" si="11">C61*(1+D62)</f>
        <v>-984605.16528925626</v>
      </c>
      <c r="E61" s="30">
        <f t="shared" ref="E61" si="12">D61*(1+E62)</f>
        <v>-976996.85264838475</v>
      </c>
      <c r="F61" s="30">
        <f t="shared" ref="F61" si="13">E61*(1+F62)</f>
        <v>-969447.33151428367</v>
      </c>
    </row>
    <row r="62" spans="1:6" x14ac:dyDescent="0.25">
      <c r="A62" t="s">
        <v>78</v>
      </c>
      <c r="B62" s="47">
        <f>CHOOSE($C$5,B63,B64,B65)</f>
        <v>-7.7272727272727267E-3</v>
      </c>
      <c r="C62" s="47">
        <f t="shared" ref="C62" si="14">CHOOSE($C$5,C63,C64,C65)</f>
        <v>-7.7272727272727267E-3</v>
      </c>
      <c r="D62" s="47">
        <f t="shared" ref="D62" si="15">CHOOSE($C$5,D63,D64,D65)</f>
        <v>-7.7272727272727267E-3</v>
      </c>
      <c r="E62" s="47">
        <f t="shared" ref="E62" si="16">CHOOSE($C$5,E63,E64,E65)</f>
        <v>-7.7272727272727267E-3</v>
      </c>
      <c r="F62" s="47">
        <f t="shared" ref="F62" si="17">CHOOSE($C$5,F63,F64,F65)</f>
        <v>-7.7272727272727267E-3</v>
      </c>
    </row>
    <row r="63" spans="1:6" x14ac:dyDescent="0.25">
      <c r="A63" t="s">
        <v>67</v>
      </c>
      <c r="B63" s="48">
        <f>$B64*(1-$F$4)</f>
        <v>-7.7272727272727267E-3</v>
      </c>
      <c r="C63" s="48">
        <f t="shared" ref="C63" si="18">$B64*(1-$F$4)</f>
        <v>-7.7272727272727267E-3</v>
      </c>
      <c r="D63" s="48">
        <f t="shared" ref="D63" si="19">$B64*(1-$F$4)</f>
        <v>-7.7272727272727267E-3</v>
      </c>
      <c r="E63" s="48">
        <f t="shared" ref="E63" si="20">$B64*(1-$F$4)</f>
        <v>-7.7272727272727267E-3</v>
      </c>
      <c r="F63" s="48">
        <f t="shared" ref="F63" si="21">$B64*(1-$F$4)</f>
        <v>-7.7272727272727267E-3</v>
      </c>
    </row>
    <row r="64" spans="1:6" x14ac:dyDescent="0.25">
      <c r="A64" t="s">
        <v>68</v>
      </c>
      <c r="B64" s="48">
        <f>'profit loss statement SOURCE'!G17</f>
        <v>-9.0909090909090905E-3</v>
      </c>
      <c r="C64" s="48">
        <v>-0.12</v>
      </c>
      <c r="D64" s="48">
        <v>-0.12</v>
      </c>
      <c r="E64" s="48">
        <v>-0.12</v>
      </c>
      <c r="F64" s="48">
        <v>-0.12</v>
      </c>
    </row>
    <row r="65" spans="1:6" x14ac:dyDescent="0.25">
      <c r="A65" t="s">
        <v>69</v>
      </c>
      <c r="B65" s="48">
        <f>$B64*(1+$F$6)</f>
        <v>-7.2727272727272727E-3</v>
      </c>
      <c r="C65" s="48">
        <f t="shared" ref="C65" si="22">$B64*(1-$F$6)</f>
        <v>-1.0909090909090908E-2</v>
      </c>
      <c r="D65" s="48">
        <f t="shared" ref="D65" si="23">$B64*(1-$F$6)</f>
        <v>-1.0909090909090908E-2</v>
      </c>
      <c r="E65" s="48">
        <f t="shared" ref="E65" si="24">$B64*(1-$F$6)</f>
        <v>-1.0909090909090908E-2</v>
      </c>
      <c r="F65" s="48">
        <f t="shared" ref="F65" si="25">$B64*(1-$F$6)</f>
        <v>-1.0909090909090908E-2</v>
      </c>
    </row>
    <row r="67" spans="1:6" x14ac:dyDescent="0.25">
      <c r="A67" s="26" t="str">
        <f>'profit loss statement SOURCE'!A18:B18</f>
        <v>EMPLOYEE COST</v>
      </c>
      <c r="B67" s="30">
        <f>'profit loss statement SOURCE'!C18</f>
        <v>-3000000</v>
      </c>
      <c r="C67" s="30">
        <f>B67*(1+C68)</f>
        <v>-2930454.5454545454</v>
      </c>
      <c r="D67" s="30">
        <f t="shared" ref="D67" si="26">C67*(1+D68)</f>
        <v>-2862521.2809917354</v>
      </c>
      <c r="E67" s="30">
        <f t="shared" ref="E67" si="27">D67*(1+E68)</f>
        <v>-2796162.8331141998</v>
      </c>
      <c r="F67" s="30">
        <f t="shared" ref="F67" si="28">E67*(1+F68)</f>
        <v>-2731342.694710189</v>
      </c>
    </row>
    <row r="68" spans="1:6" x14ac:dyDescent="0.25">
      <c r="A68" t="s">
        <v>78</v>
      </c>
      <c r="B68" s="47">
        <f>CHOOSE($C$5,B69,B70,B71)</f>
        <v>-2.3181818181818178E-2</v>
      </c>
      <c r="C68" s="47">
        <f t="shared" ref="C68" si="29">CHOOSE($C$5,C69,C70,C71)</f>
        <v>-2.3181818181818178E-2</v>
      </c>
      <c r="D68" s="47">
        <f t="shared" ref="D68" si="30">CHOOSE($C$5,D69,D70,D71)</f>
        <v>-2.3181818181818178E-2</v>
      </c>
      <c r="E68" s="47">
        <f t="shared" ref="E68" si="31">CHOOSE($C$5,E69,E70,E71)</f>
        <v>-2.3181818181818178E-2</v>
      </c>
      <c r="F68" s="47">
        <f t="shared" ref="F68" si="32">CHOOSE($C$5,F69,F70,F71)</f>
        <v>-2.3181818181818178E-2</v>
      </c>
    </row>
    <row r="69" spans="1:6" x14ac:dyDescent="0.25">
      <c r="A69" t="s">
        <v>67</v>
      </c>
      <c r="B69" s="48">
        <f>$B70*(1-$F$4)</f>
        <v>-2.3181818181818178E-2</v>
      </c>
      <c r="C69" s="48">
        <f t="shared" ref="C69" si="33">$B70*(1-$F$4)</f>
        <v>-2.3181818181818178E-2</v>
      </c>
      <c r="D69" s="48">
        <f t="shared" ref="D69" si="34">$B70*(1-$F$4)</f>
        <v>-2.3181818181818178E-2</v>
      </c>
      <c r="E69" s="48">
        <f t="shared" ref="E69" si="35">$B70*(1-$F$4)</f>
        <v>-2.3181818181818178E-2</v>
      </c>
      <c r="F69" s="48">
        <f t="shared" ref="F69" si="36">$B70*(1-$F$4)</f>
        <v>-2.3181818181818178E-2</v>
      </c>
    </row>
    <row r="70" spans="1:6" x14ac:dyDescent="0.25">
      <c r="A70" t="s">
        <v>68</v>
      </c>
      <c r="B70" s="48">
        <f>'profit loss statement SOURCE'!G18</f>
        <v>-2.7272727272727271E-2</v>
      </c>
      <c r="C70" s="48">
        <v>-0.12</v>
      </c>
      <c r="D70" s="48">
        <v>-0.12</v>
      </c>
      <c r="E70" s="48">
        <v>-0.12</v>
      </c>
      <c r="F70" s="48">
        <v>-0.12</v>
      </c>
    </row>
    <row r="71" spans="1:6" x14ac:dyDescent="0.25">
      <c r="A71" t="s">
        <v>69</v>
      </c>
      <c r="B71" s="48">
        <f>$B70*(1+$F$6)</f>
        <v>-2.181818181818182E-2</v>
      </c>
      <c r="C71" s="48">
        <f t="shared" ref="C71" si="37">$B70*(1-$F$6)</f>
        <v>-3.2727272727272723E-2</v>
      </c>
      <c r="D71" s="48">
        <f t="shared" ref="D71" si="38">$B70*(1-$F$6)</f>
        <v>-3.2727272727272723E-2</v>
      </c>
      <c r="E71" s="48">
        <f t="shared" ref="E71" si="39">$B70*(1-$F$6)</f>
        <v>-3.2727272727272723E-2</v>
      </c>
      <c r="F71" s="48">
        <f t="shared" ref="F71" si="40">$B70*(1-$F$6)</f>
        <v>-3.2727272727272723E-2</v>
      </c>
    </row>
    <row r="73" spans="1:6" x14ac:dyDescent="0.25">
      <c r="A73" s="26" t="str">
        <f>'profit loss statement SOURCE'!A19:B19</f>
        <v>LEGAL EXPENSE</v>
      </c>
      <c r="B73" s="30">
        <f>'profit loss statement SOURCE'!C20</f>
        <v>-10000000</v>
      </c>
      <c r="C73" s="30">
        <f>B73*(1+C74)</f>
        <v>-9992272.7272727266</v>
      </c>
      <c r="D73" s="30">
        <f t="shared" ref="D73" si="41">C73*(1+D74)</f>
        <v>-9984551.425619835</v>
      </c>
      <c r="E73" s="30">
        <f t="shared" ref="E73" si="42">D73*(1+E74)</f>
        <v>-9976836.0904273111</v>
      </c>
      <c r="F73" s="30">
        <f t="shared" ref="F73" si="43">E73*(1+F74)</f>
        <v>-9969126.7170847077</v>
      </c>
    </row>
    <row r="74" spans="1:6" x14ac:dyDescent="0.25">
      <c r="A74" t="s">
        <v>78</v>
      </c>
      <c r="B74" s="47">
        <f>CHOOSE($C$5,B75,B76,B77)</f>
        <v>-7.7272727272727269E-4</v>
      </c>
      <c r="C74" s="47">
        <f t="shared" ref="C74" si="44">CHOOSE($C$5,C75,C76,C77)</f>
        <v>-7.7272727272727269E-4</v>
      </c>
      <c r="D74" s="47">
        <f t="shared" ref="D74" si="45">CHOOSE($C$5,D75,D76,D77)</f>
        <v>-7.7272727272727269E-4</v>
      </c>
      <c r="E74" s="47">
        <f t="shared" ref="E74" si="46">CHOOSE($C$5,E75,E76,E77)</f>
        <v>-7.7272727272727269E-4</v>
      </c>
      <c r="F74" s="47">
        <f t="shared" ref="F74" si="47">CHOOSE($C$5,F75,F76,F77)</f>
        <v>-7.7272727272727269E-4</v>
      </c>
    </row>
    <row r="75" spans="1:6" x14ac:dyDescent="0.25">
      <c r="A75" t="s">
        <v>67</v>
      </c>
      <c r="B75" s="48">
        <f>$B76*(1-$F$4)</f>
        <v>-7.7272727272727269E-4</v>
      </c>
      <c r="C75" s="48">
        <f t="shared" ref="C75" si="48">$B76*(1-$F$4)</f>
        <v>-7.7272727272727269E-4</v>
      </c>
      <c r="D75" s="48">
        <f t="shared" ref="D75" si="49">$B76*(1-$F$4)</f>
        <v>-7.7272727272727269E-4</v>
      </c>
      <c r="E75" s="48">
        <f t="shared" ref="E75" si="50">$B76*(1-$F$4)</f>
        <v>-7.7272727272727269E-4</v>
      </c>
      <c r="F75" s="48">
        <f t="shared" ref="F75" si="51">$B76*(1-$F$4)</f>
        <v>-7.7272727272727269E-4</v>
      </c>
    </row>
    <row r="76" spans="1:6" x14ac:dyDescent="0.25">
      <c r="A76" t="s">
        <v>68</v>
      </c>
      <c r="B76" s="48">
        <f>'profit loss statement SOURCE'!G19</f>
        <v>-9.0909090909090909E-4</v>
      </c>
      <c r="C76" s="48">
        <v>-0.12</v>
      </c>
      <c r="D76" s="48">
        <v>-0.12</v>
      </c>
      <c r="E76" s="48">
        <v>-0.12</v>
      </c>
      <c r="F76" s="48">
        <v>-0.12</v>
      </c>
    </row>
    <row r="77" spans="1:6" x14ac:dyDescent="0.25">
      <c r="A77" t="s">
        <v>69</v>
      </c>
      <c r="B77" s="48">
        <f>$B76*(1+$F$6)</f>
        <v>-7.2727272727272734E-4</v>
      </c>
      <c r="C77" s="48">
        <f t="shared" ref="C77" si="52">$B76*(1-$F$6)</f>
        <v>-1.090909090909091E-3</v>
      </c>
      <c r="D77" s="48">
        <f t="shared" ref="D77" si="53">$B76*(1-$F$6)</f>
        <v>-1.090909090909091E-3</v>
      </c>
      <c r="E77" s="48">
        <f t="shared" ref="E77" si="54">$B76*(1-$F$6)</f>
        <v>-1.090909090909091E-3</v>
      </c>
      <c r="F77" s="48">
        <f t="shared" ref="F77" si="55">$B76*(1-$F$6)</f>
        <v>-1.090909090909091E-3</v>
      </c>
    </row>
    <row r="79" spans="1:6" x14ac:dyDescent="0.25">
      <c r="A79" s="26" t="str">
        <f>'profit loss statement SOURCE'!A20:B20</f>
        <v>OFFICE EXPENSE</v>
      </c>
      <c r="B79" s="30">
        <f>'profit loss statement SOURCE'!C20</f>
        <v>-10000000</v>
      </c>
      <c r="C79" s="30">
        <f>B79*(1+C80)</f>
        <v>-9227272.7272727266</v>
      </c>
      <c r="D79" s="30">
        <f t="shared" ref="D79" si="56">C79*(1+D80)</f>
        <v>-8514256.1983471066</v>
      </c>
      <c r="E79" s="30">
        <f t="shared" ref="E79" si="57">D79*(1+E80)</f>
        <v>-7856336.4012021031</v>
      </c>
      <c r="F79" s="30">
        <f t="shared" ref="F79" si="58">E79*(1+F80)</f>
        <v>-7249255.861109213</v>
      </c>
    </row>
    <row r="80" spans="1:6" x14ac:dyDescent="0.25">
      <c r="A80" t="s">
        <v>78</v>
      </c>
      <c r="B80" s="47">
        <f>CHOOSE($C$5,B81,B82,B83)</f>
        <v>-7.7272727272727271E-2</v>
      </c>
      <c r="C80" s="47">
        <f t="shared" ref="C80" si="59">CHOOSE($C$5,C81,C82,C83)</f>
        <v>-7.7272727272727271E-2</v>
      </c>
      <c r="D80" s="47">
        <f t="shared" ref="D80" si="60">CHOOSE($C$5,D81,D82,D83)</f>
        <v>-7.7272727272727271E-2</v>
      </c>
      <c r="E80" s="47">
        <f t="shared" ref="E80" si="61">CHOOSE($C$5,E81,E82,E83)</f>
        <v>-7.7272727272727271E-2</v>
      </c>
      <c r="F80" s="47">
        <f t="shared" ref="F80" si="62">CHOOSE($C$5,F81,F82,F83)</f>
        <v>-7.7272727272727271E-2</v>
      </c>
    </row>
    <row r="81" spans="1:6" x14ac:dyDescent="0.25">
      <c r="A81" t="s">
        <v>67</v>
      </c>
      <c r="B81" s="48">
        <f>$B82*(1-$F$4)</f>
        <v>-7.7272727272727271E-2</v>
      </c>
      <c r="C81" s="48">
        <f t="shared" ref="C81" si="63">$B82*(1-$F$4)</f>
        <v>-7.7272727272727271E-2</v>
      </c>
      <c r="D81" s="48">
        <f t="shared" ref="D81" si="64">$B82*(1-$F$4)</f>
        <v>-7.7272727272727271E-2</v>
      </c>
      <c r="E81" s="48">
        <f t="shared" ref="E81" si="65">$B82*(1-$F$4)</f>
        <v>-7.7272727272727271E-2</v>
      </c>
      <c r="F81" s="48">
        <f t="shared" ref="F81" si="66">$B82*(1-$F$4)</f>
        <v>-7.7272727272727271E-2</v>
      </c>
    </row>
    <row r="82" spans="1:6" x14ac:dyDescent="0.25">
      <c r="A82" t="s">
        <v>68</v>
      </c>
      <c r="B82" s="48">
        <f>'profit loss statement SOURCE'!G20</f>
        <v>-9.0909090909090912E-2</v>
      </c>
      <c r="C82" s="48">
        <v>-0.12</v>
      </c>
      <c r="D82" s="48">
        <v>-0.12</v>
      </c>
      <c r="E82" s="48">
        <v>-0.12</v>
      </c>
      <c r="F82" s="48">
        <v>-0.12</v>
      </c>
    </row>
    <row r="83" spans="1:6" x14ac:dyDescent="0.25">
      <c r="A83" t="s">
        <v>69</v>
      </c>
      <c r="B83" s="48">
        <f>$B82*(1+$F$6)</f>
        <v>-7.2727272727272738E-2</v>
      </c>
      <c r="C83" s="48">
        <f t="shared" ref="C83" si="67">$B82*(1-$F$6)</f>
        <v>-0.10909090909090909</v>
      </c>
      <c r="D83" s="48">
        <f t="shared" ref="D83" si="68">$B82*(1-$F$6)</f>
        <v>-0.10909090909090909</v>
      </c>
      <c r="E83" s="48">
        <f t="shared" ref="E83" si="69">$B82*(1-$F$6)</f>
        <v>-0.10909090909090909</v>
      </c>
      <c r="F83" s="48">
        <f t="shared" ref="F83" si="70">$B82*(1-$F$6)</f>
        <v>-0.10909090909090909</v>
      </c>
    </row>
    <row r="85" spans="1:6" x14ac:dyDescent="0.25">
      <c r="A85" s="26" t="str">
        <f>'profit loss statement SOURCE'!A21:B21</f>
        <v>MISC EXPENSE</v>
      </c>
      <c r="B85" s="30">
        <f>'profit loss statement SOURCE'!C21</f>
        <v>-500000</v>
      </c>
      <c r="C85" s="30">
        <f>B85*(1+C86)</f>
        <v>-498068.18181818182</v>
      </c>
      <c r="D85" s="30">
        <f t="shared" ref="D85" si="71">C85*(1+D86)</f>
        <v>-496143.82747933886</v>
      </c>
      <c r="E85" s="30">
        <f t="shared" ref="E85" si="72">D85*(1+E86)</f>
        <v>-494226.90814589593</v>
      </c>
      <c r="F85" s="30">
        <f t="shared" ref="F85" si="73">E85*(1+F86)</f>
        <v>-492317.39509169583</v>
      </c>
    </row>
    <row r="86" spans="1:6" x14ac:dyDescent="0.25">
      <c r="A86" t="s">
        <v>78</v>
      </c>
      <c r="B86" s="47">
        <f>CHOOSE($C$5,B87,B88,B89)</f>
        <v>-3.8636363636363634E-3</v>
      </c>
      <c r="C86" s="47">
        <f t="shared" ref="C86" si="74">CHOOSE($C$5,C87,C88,C89)</f>
        <v>-3.8636363636363634E-3</v>
      </c>
      <c r="D86" s="47">
        <f t="shared" ref="D86" si="75">CHOOSE($C$5,D87,D88,D89)</f>
        <v>-3.8636363636363634E-3</v>
      </c>
      <c r="E86" s="47">
        <f t="shared" ref="E86" si="76">CHOOSE($C$5,E87,E88,E89)</f>
        <v>-3.8636363636363634E-3</v>
      </c>
      <c r="F86" s="47">
        <f t="shared" ref="F86" si="77">CHOOSE($C$5,F87,F88,F89)</f>
        <v>-3.8636363636363634E-3</v>
      </c>
    </row>
    <row r="87" spans="1:6" x14ac:dyDescent="0.25">
      <c r="A87" t="s">
        <v>67</v>
      </c>
      <c r="B87" s="48">
        <f>$B88*(1-$F$4)</f>
        <v>-3.8636363636363634E-3</v>
      </c>
      <c r="C87" s="48">
        <f t="shared" ref="C87" si="78">$B88*(1-$F$4)</f>
        <v>-3.8636363636363634E-3</v>
      </c>
      <c r="D87" s="48">
        <f t="shared" ref="D87" si="79">$B88*(1-$F$4)</f>
        <v>-3.8636363636363634E-3</v>
      </c>
      <c r="E87" s="48">
        <f t="shared" ref="E87" si="80">$B88*(1-$F$4)</f>
        <v>-3.8636363636363634E-3</v>
      </c>
      <c r="F87" s="48">
        <f t="shared" ref="F87" si="81">$B88*(1-$F$4)</f>
        <v>-3.8636363636363634E-3</v>
      </c>
    </row>
    <row r="88" spans="1:6" x14ac:dyDescent="0.25">
      <c r="A88" t="s">
        <v>68</v>
      </c>
      <c r="B88" s="48">
        <f>'profit loss statement SOURCE'!G21</f>
        <v>-4.5454545454545452E-3</v>
      </c>
      <c r="C88" s="48">
        <v>-0.12</v>
      </c>
      <c r="D88" s="48">
        <v>-0.12</v>
      </c>
      <c r="E88" s="48">
        <v>-0.12</v>
      </c>
      <c r="F88" s="48">
        <v>-0.12</v>
      </c>
    </row>
    <row r="89" spans="1:6" x14ac:dyDescent="0.25">
      <c r="A89" t="s">
        <v>69</v>
      </c>
      <c r="B89" s="48">
        <f>$B88*(1+$F$6)</f>
        <v>-3.6363636363636364E-3</v>
      </c>
      <c r="C89" s="48">
        <f t="shared" ref="C89" si="82">$B88*(1-$F$6)</f>
        <v>-5.4545454545454541E-3</v>
      </c>
      <c r="D89" s="48">
        <f t="shared" ref="D89" si="83">$B88*(1-$F$6)</f>
        <v>-5.4545454545454541E-3</v>
      </c>
      <c r="E89" s="48">
        <f t="shared" ref="E89" si="84">$B88*(1-$F$6)</f>
        <v>-5.4545454545454541E-3</v>
      </c>
      <c r="F89" s="48">
        <f t="shared" ref="F89" si="85">$B88*(1-$F$6)</f>
        <v>-5.4545454545454541E-3</v>
      </c>
    </row>
    <row r="91" spans="1:6" x14ac:dyDescent="0.25">
      <c r="A91" s="26" t="s">
        <v>117</v>
      </c>
      <c r="B91" s="27">
        <f>'debt calculator'!D15</f>
        <v>400000</v>
      </c>
      <c r="C91" s="27">
        <f>'debt calculator'!D16</f>
        <v>334481.0076821018</v>
      </c>
      <c r="D91" s="27">
        <f>'debt calculator'!D17</f>
        <v>262410.11613241379</v>
      </c>
      <c r="E91" s="27">
        <f>'debt calculator'!D18</f>
        <v>183132.13542775702</v>
      </c>
      <c r="F91" s="27">
        <f>'debt calculator'!D18</f>
        <v>183132.13542775702</v>
      </c>
    </row>
    <row r="92" spans="1:6" x14ac:dyDescent="0.25">
      <c r="B92" s="3"/>
      <c r="C92" s="3"/>
      <c r="D92" s="3"/>
      <c r="E92" s="3"/>
      <c r="F92" s="3"/>
    </row>
    <row r="93" spans="1:6" x14ac:dyDescent="0.25">
      <c r="B93" s="3"/>
      <c r="C93" s="3"/>
      <c r="D93" s="3"/>
      <c r="E93" s="3"/>
      <c r="F93" s="3"/>
    </row>
    <row r="94" spans="1:6" x14ac:dyDescent="0.25">
      <c r="B94" s="3"/>
      <c r="C94" s="3"/>
      <c r="D94" s="3"/>
      <c r="E94" s="3"/>
      <c r="F94" s="3"/>
    </row>
    <row r="95" spans="1:6" x14ac:dyDescent="0.25">
      <c r="B95" s="3"/>
      <c r="C95" s="3"/>
      <c r="D95" s="3"/>
      <c r="E95" s="3"/>
      <c r="F95" s="3"/>
    </row>
    <row r="97" spans="2:6" x14ac:dyDescent="0.25">
      <c r="B97" s="27"/>
      <c r="C97" s="27"/>
      <c r="D97" s="27"/>
      <c r="E97" s="27"/>
      <c r="F97" s="27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3" spans="2:6" x14ac:dyDescent="0.25">
      <c r="B103" s="27"/>
      <c r="C103" s="27"/>
      <c r="D103" s="27"/>
      <c r="E103" s="27"/>
      <c r="F103" s="27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9" spans="2:6" x14ac:dyDescent="0.25">
      <c r="B109" s="27"/>
      <c r="C109" s="27"/>
      <c r="D109" s="27"/>
      <c r="E109" s="27"/>
      <c r="F109" s="27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5" spans="2:6" x14ac:dyDescent="0.25">
      <c r="B115" s="27"/>
      <c r="C115" s="27"/>
      <c r="D115" s="27"/>
      <c r="E115" s="27"/>
      <c r="F115" s="27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</sheetData>
  <mergeCells count="1">
    <mergeCell ref="A1:F2"/>
  </mergeCells>
  <dataValidations count="1">
    <dataValidation type="list" errorStyle="information" allowBlank="1" showInputMessage="1" showErrorMessage="1" sqref="C5" xr:uid="{AA054C6C-39EC-4B5E-BB19-9341AB7F2A43}">
      <formula1>"1,2,3"</formula1>
    </dataValidation>
  </dataValidations>
  <pageMargins left="0.7" right="0.7" top="0.75" bottom="0.75" header="0.3" footer="0.3"/>
  <pageSetup orientation="landscape" r:id="rId1"/>
  <rowBreaks count="1" manualBreakCount="1">
    <brk id="2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FE7D-7A83-456E-8B39-8DF290FF5114}">
  <dimension ref="A3:J22"/>
  <sheetViews>
    <sheetView workbookViewId="0">
      <selection activeCell="C12" sqref="C12:D14"/>
    </sheetView>
  </sheetViews>
  <sheetFormatPr defaultRowHeight="15" x14ac:dyDescent="0.25"/>
  <cols>
    <col min="1" max="1" width="34.42578125" bestFit="1" customWidth="1"/>
    <col min="2" max="2" width="13" customWidth="1"/>
    <col min="3" max="3" width="18.7109375" bestFit="1" customWidth="1"/>
    <col min="4" max="4" width="18.7109375" customWidth="1"/>
    <col min="5" max="5" width="15.28515625" bestFit="1" customWidth="1"/>
    <col min="6" max="6" width="18.140625" bestFit="1" customWidth="1"/>
    <col min="7" max="7" width="18.7109375" bestFit="1" customWidth="1"/>
    <col min="8" max="8" width="19" bestFit="1" customWidth="1"/>
    <col min="9" max="9" width="20.7109375" bestFit="1" customWidth="1"/>
    <col min="10" max="10" width="19.7109375" bestFit="1" customWidth="1"/>
  </cols>
  <sheetData>
    <row r="3" spans="1:10" ht="15.75" x14ac:dyDescent="0.25">
      <c r="B3" s="58" t="s">
        <v>70</v>
      </c>
      <c r="C3" s="58">
        <v>1</v>
      </c>
      <c r="D3" s="58">
        <v>2</v>
      </c>
      <c r="E3" s="58">
        <v>3</v>
      </c>
      <c r="F3" s="58">
        <v>4</v>
      </c>
      <c r="G3" s="58">
        <v>5</v>
      </c>
    </row>
    <row r="4" spans="1:10" x14ac:dyDescent="0.25">
      <c r="A4" t="s">
        <v>125</v>
      </c>
      <c r="B4" s="42"/>
      <c r="C4" s="42">
        <f>'cash flows'!C22+'cash flows'!C27</f>
        <v>24163100.754000001</v>
      </c>
      <c r="D4" s="42">
        <f>'cash flows'!D22+'cash flows'!D27</f>
        <v>34571826.72708419</v>
      </c>
      <c r="E4" s="42">
        <f>'cash flows'!E22+'cash flows'!E27</f>
        <v>46205800.706761405</v>
      </c>
      <c r="F4" s="42">
        <f>'cash flows'!F22+'cash flows'!F27</f>
        <v>58932474.069466382</v>
      </c>
      <c r="G4" s="42">
        <f>'cash flows'!G22+'cash flows'!G27</f>
        <v>73073734.179302812</v>
      </c>
    </row>
    <row r="5" spans="1:10" x14ac:dyDescent="0.25">
      <c r="B5" s="42"/>
      <c r="C5" s="42"/>
      <c r="D5" s="3">
        <f>(D4-C4)/D4</f>
        <v>0.30107538300629644</v>
      </c>
      <c r="E5" s="3">
        <f t="shared" ref="E5:G5" si="0">(E4-D4)/E4</f>
        <v>0.25178600525744788</v>
      </c>
      <c r="F5" s="3">
        <f t="shared" si="0"/>
        <v>0.21595348852490853</v>
      </c>
      <c r="G5" s="3">
        <f t="shared" si="0"/>
        <v>0.1935204252069242</v>
      </c>
    </row>
    <row r="6" spans="1:10" x14ac:dyDescent="0.25">
      <c r="A6" t="s">
        <v>127</v>
      </c>
      <c r="B6" s="2">
        <v>0.1</v>
      </c>
      <c r="C6">
        <f>(1+$B$6)^C3</f>
        <v>1.1000000000000001</v>
      </c>
      <c r="D6">
        <f t="shared" ref="D6:G6" si="1">(1+$B$6)^D3</f>
        <v>1.2100000000000002</v>
      </c>
      <c r="E6">
        <f t="shared" si="1"/>
        <v>1.3310000000000004</v>
      </c>
      <c r="F6">
        <f t="shared" si="1"/>
        <v>1.4641000000000004</v>
      </c>
      <c r="G6">
        <f t="shared" si="1"/>
        <v>1.6105100000000006</v>
      </c>
    </row>
    <row r="7" spans="1:10" ht="15.75" thickBot="1" x14ac:dyDescent="0.3">
      <c r="A7" t="s">
        <v>126</v>
      </c>
      <c r="B7" s="42"/>
      <c r="C7" s="52">
        <f>C4*C6</f>
        <v>26579410.829400003</v>
      </c>
      <c r="D7" s="52">
        <f t="shared" ref="D7:G7" si="2">D4*D6</f>
        <v>41831910.339771874</v>
      </c>
      <c r="E7" s="52">
        <f t="shared" si="2"/>
        <v>61499920.740699448</v>
      </c>
      <c r="F7" s="52">
        <f t="shared" si="2"/>
        <v>86283035.28510575</v>
      </c>
      <c r="G7" s="52">
        <f t="shared" si="2"/>
        <v>117685979.63310902</v>
      </c>
    </row>
    <row r="8" spans="1:10" ht="15.75" thickTop="1" x14ac:dyDescent="0.25"/>
    <row r="10" spans="1:10" x14ac:dyDescent="0.25">
      <c r="A10" t="s">
        <v>129</v>
      </c>
    </row>
    <row r="11" spans="1:10" x14ac:dyDescent="0.25">
      <c r="C11" s="42"/>
    </row>
    <row r="12" spans="1:10" x14ac:dyDescent="0.25">
      <c r="A12" t="s">
        <v>128</v>
      </c>
      <c r="C12" s="42">
        <f>SUM(C7:G7)</f>
        <v>333880256.82808608</v>
      </c>
      <c r="D12" s="3">
        <f>C12/$C$14</f>
        <v>0.21398753051556788</v>
      </c>
      <c r="F12" t="s">
        <v>137</v>
      </c>
      <c r="G12" s="80" t="s">
        <v>138</v>
      </c>
      <c r="H12" s="80"/>
      <c r="I12" s="80"/>
      <c r="J12" s="80"/>
    </row>
    <row r="13" spans="1:10" x14ac:dyDescent="0.25">
      <c r="A13" t="s">
        <v>130</v>
      </c>
      <c r="C13" s="42">
        <f>-(G7*(1+D5)/(B6-D5))*G6</f>
        <v>1226398774.4951706</v>
      </c>
      <c r="D13" s="3">
        <f>C13/$C$14</f>
        <v>0.78601246948443204</v>
      </c>
      <c r="F13" s="42">
        <f>C17</f>
        <v>1568352781.3132567</v>
      </c>
      <c r="G13" s="3">
        <v>7.0000000000000007E-2</v>
      </c>
      <c r="H13" s="3">
        <v>0.08</v>
      </c>
      <c r="I13" s="3">
        <v>0.11</v>
      </c>
      <c r="J13" s="3">
        <v>0.13</v>
      </c>
    </row>
    <row r="14" spans="1:10" x14ac:dyDescent="0.25">
      <c r="A14" t="s">
        <v>131</v>
      </c>
      <c r="C14" s="59">
        <f>SUM(C11:C13)</f>
        <v>1560279031.3232567</v>
      </c>
      <c r="D14" s="27"/>
      <c r="E14" s="81" t="s">
        <v>139</v>
      </c>
      <c r="F14" s="3">
        <v>0.19483150190669526</v>
      </c>
      <c r="G14" s="42">
        <f t="dataTable" ref="G14:J18" dt2D="1" dtr="1" r1="B6" r2="D5"/>
        <v>1685734921.492981</v>
      </c>
      <c r="H14" s="42">
        <v>1961760310.5726678</v>
      </c>
      <c r="I14" s="42">
        <v>3275686673.1594563</v>
      </c>
      <c r="J14" s="42">
        <v>4948494423.258297</v>
      </c>
    </row>
    <row r="15" spans="1:10" x14ac:dyDescent="0.25">
      <c r="A15" t="s">
        <v>132</v>
      </c>
      <c r="C15" s="42">
        <f>-'balance sheet source'!N5</f>
        <v>-4000000</v>
      </c>
      <c r="D15" s="42"/>
      <c r="E15" s="81"/>
      <c r="F15" s="3">
        <v>0.15537008895063248</v>
      </c>
      <c r="G15" s="42">
        <v>2255276661.1214199</v>
      </c>
      <c r="H15" s="42">
        <v>2738606732.9483056</v>
      </c>
      <c r="I15" s="42">
        <v>5637034222.7173758</v>
      </c>
      <c r="J15" s="42">
        <v>11673439445.678011</v>
      </c>
    </row>
    <row r="16" spans="1:10" x14ac:dyDescent="0.25">
      <c r="A16" t="s">
        <v>133</v>
      </c>
      <c r="C16" s="42">
        <f>'balance sheet source'!F11</f>
        <v>12073749.99</v>
      </c>
      <c r="D16" s="42"/>
      <c r="E16" s="81"/>
      <c r="F16" s="3">
        <v>0.1262957711678909</v>
      </c>
      <c r="G16" s="42">
        <v>3185764886.6560869</v>
      </c>
      <c r="H16" s="42">
        <v>4158291079.4633336</v>
      </c>
      <c r="I16" s="42">
        <v>14693923375.251719</v>
      </c>
      <c r="J16" s="42">
        <v>-75045491359.41507</v>
      </c>
    </row>
    <row r="17" spans="1:10" ht="15.75" thickBot="1" x14ac:dyDescent="0.3">
      <c r="A17" t="s">
        <v>134</v>
      </c>
      <c r="C17" s="52">
        <f>SUM(C14:C16)</f>
        <v>1568352781.3132567</v>
      </c>
      <c r="D17" s="42"/>
      <c r="E17" s="81"/>
      <c r="F17" s="3">
        <v>0.10803319358667179</v>
      </c>
      <c r="G17" s="42">
        <v>4497681895.8112164</v>
      </c>
      <c r="H17" s="42">
        <v>6555858267.4783573</v>
      </c>
      <c r="I17" s="42">
        <v>-116538034529.66389</v>
      </c>
      <c r="J17" s="42">
        <v>-12135225185.364704</v>
      </c>
    </row>
    <row r="18" spans="1:10" ht="15.75" thickTop="1" x14ac:dyDescent="0.25">
      <c r="F18" s="42"/>
      <c r="G18" s="42">
        <v>-1743678144.7570536</v>
      </c>
      <c r="H18" s="42">
        <v>-1651762143.265075</v>
      </c>
      <c r="I18" s="42">
        <v>-1532965950.6166675</v>
      </c>
      <c r="J18" s="42">
        <v>-1531191007.9177129</v>
      </c>
    </row>
    <row r="20" spans="1:10" x14ac:dyDescent="0.25">
      <c r="A20" t="s">
        <v>135</v>
      </c>
      <c r="C20">
        <v>1000000</v>
      </c>
    </row>
    <row r="21" spans="1:10" x14ac:dyDescent="0.25">
      <c r="A21" t="s">
        <v>136</v>
      </c>
      <c r="C21" s="42">
        <f>C17/C20</f>
        <v>1568.3527813132566</v>
      </c>
      <c r="D21" s="42"/>
      <c r="F21" t="s">
        <v>141</v>
      </c>
      <c r="G21" s="2">
        <v>0.1</v>
      </c>
    </row>
    <row r="22" spans="1:10" x14ac:dyDescent="0.25">
      <c r="F22" t="s">
        <v>142</v>
      </c>
      <c r="G22" s="2">
        <v>0.19</v>
      </c>
    </row>
  </sheetData>
  <mergeCells count="2">
    <mergeCell ref="G12:J12"/>
    <mergeCell ref="E14:E1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CB37-4910-4A67-99A3-77E83D58E924}">
  <dimension ref="B2:O5"/>
  <sheetViews>
    <sheetView showGridLines="0" workbookViewId="0">
      <selection activeCell="K7" sqref="K7"/>
    </sheetView>
  </sheetViews>
  <sheetFormatPr defaultRowHeight="15" x14ac:dyDescent="0.25"/>
  <cols>
    <col min="4" max="4" width="18" bestFit="1" customWidth="1"/>
    <col min="7" max="7" width="18.140625" bestFit="1" customWidth="1"/>
    <col min="9" max="9" width="18" bestFit="1" customWidth="1"/>
    <col min="10" max="10" width="4.5703125" bestFit="1" customWidth="1"/>
    <col min="12" max="12" width="18.140625" bestFit="1" customWidth="1"/>
    <col min="14" max="14" width="18" bestFit="1" customWidth="1"/>
    <col min="15" max="15" width="4.5703125" bestFit="1" customWidth="1"/>
  </cols>
  <sheetData>
    <row r="2" spans="2:15" x14ac:dyDescent="0.25">
      <c r="B2" s="68" t="s">
        <v>146</v>
      </c>
      <c r="C2" s="68"/>
      <c r="D2" s="68" t="s">
        <v>147</v>
      </c>
      <c r="E2" s="68" t="s">
        <v>148</v>
      </c>
      <c r="G2" s="68" t="s">
        <v>149</v>
      </c>
      <c r="H2" s="68"/>
      <c r="I2" s="68" t="s">
        <v>147</v>
      </c>
      <c r="J2" s="68" t="s">
        <v>148</v>
      </c>
      <c r="L2" s="68" t="s">
        <v>150</v>
      </c>
      <c r="M2" s="68"/>
      <c r="N2" s="68" t="s">
        <v>147</v>
      </c>
      <c r="O2" s="68" t="s">
        <v>148</v>
      </c>
    </row>
    <row r="3" spans="2:15" x14ac:dyDescent="0.25">
      <c r="B3" t="s">
        <v>128</v>
      </c>
      <c r="D3" s="42">
        <f>'discounted cashfows'!C12</f>
        <v>333880256.82808608</v>
      </c>
      <c r="E3" s="2">
        <f>'discounted cashfows'!D12</f>
        <v>0.21398753051556788</v>
      </c>
      <c r="G3" t="s">
        <v>128</v>
      </c>
      <c r="I3" s="42">
        <v>286108167.48068929</v>
      </c>
      <c r="J3" s="2">
        <v>0.21583511325442925</v>
      </c>
      <c r="L3" t="s">
        <v>128</v>
      </c>
      <c r="N3" s="42">
        <v>250584337.51558819</v>
      </c>
      <c r="O3" s="2">
        <v>0.14029796365103059</v>
      </c>
    </row>
    <row r="4" spans="2:15" x14ac:dyDescent="0.25">
      <c r="B4" t="s">
        <v>130</v>
      </c>
      <c r="D4" s="42">
        <f>'discounted cashfows'!C13</f>
        <v>1226398774.4951706</v>
      </c>
      <c r="E4" s="2">
        <f>'discounted cashfows'!D13</f>
        <v>0.78601246948443204</v>
      </c>
      <c r="G4" t="s">
        <v>130</v>
      </c>
      <c r="I4" s="42">
        <v>1039478587.9209734</v>
      </c>
      <c r="J4" s="2">
        <v>0.78416488674557072</v>
      </c>
      <c r="L4" t="s">
        <v>130</v>
      </c>
      <c r="N4" s="42">
        <v>1535502438.0478678</v>
      </c>
      <c r="O4" s="2">
        <v>0.85970203634896936</v>
      </c>
    </row>
    <row r="5" spans="2:15" x14ac:dyDescent="0.25">
      <c r="B5" t="s">
        <v>131</v>
      </c>
      <c r="D5" s="42">
        <f>'discounted cashfows'!C14</f>
        <v>1560279031.3232567</v>
      </c>
      <c r="E5" s="2"/>
      <c r="G5" t="s">
        <v>131</v>
      </c>
      <c r="I5" s="42">
        <v>1325586755.4016628</v>
      </c>
      <c r="J5" s="2"/>
      <c r="L5" t="s">
        <v>131</v>
      </c>
      <c r="N5" s="42">
        <v>1786086775.5634561</v>
      </c>
      <c r="O5" s="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A48-AD3D-4C46-82C7-31FC25B0C29A}">
  <dimension ref="A4:H8"/>
  <sheetViews>
    <sheetView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7.140625" bestFit="1" customWidth="1"/>
    <col min="3" max="7" width="16.28515625" bestFit="1" customWidth="1"/>
  </cols>
  <sheetData>
    <row r="4" spans="1:8" ht="15.75" x14ac:dyDescent="0.25">
      <c r="B4" s="58" t="s">
        <v>70</v>
      </c>
      <c r="C4" s="58">
        <v>1</v>
      </c>
      <c r="D4" s="58">
        <v>2</v>
      </c>
      <c r="E4" s="58">
        <v>3</v>
      </c>
      <c r="F4" s="58">
        <v>4</v>
      </c>
      <c r="G4" s="58">
        <v>5</v>
      </c>
    </row>
    <row r="5" spans="1:8" x14ac:dyDescent="0.25">
      <c r="A5" t="s">
        <v>143</v>
      </c>
      <c r="C5" s="67">
        <f>'PROFIT LOSS STATEMENT'!C7</f>
        <v>110000001</v>
      </c>
      <c r="D5" s="67">
        <f>'PROFIT LOSS STATEMENT'!D7</f>
        <v>126500002</v>
      </c>
      <c r="E5" s="67">
        <f>'PROFIT LOSS STATEMENT'!E7</f>
        <v>145475002.99999997</v>
      </c>
      <c r="F5" s="67">
        <f>'PROFIT LOSS STATEMENT'!F7</f>
        <v>167296253.99999994</v>
      </c>
      <c r="G5" s="67">
        <f>'PROFIT LOSS STATEMENT'!G7</f>
        <v>192390692.49999991</v>
      </c>
      <c r="H5" s="42"/>
    </row>
    <row r="6" spans="1:8" x14ac:dyDescent="0.25">
      <c r="A6" t="s">
        <v>144</v>
      </c>
      <c r="C6" s="67">
        <f>'PROFIT LOSS STATEMENT'!C25</f>
        <v>32500001</v>
      </c>
      <c r="D6" s="67">
        <f>'PROFIT LOSS STATEMENT'!D25</f>
        <v>47086933.81818182</v>
      </c>
      <c r="E6" s="67">
        <f>'PROFIT LOSS STATEMENT'!E25</f>
        <v>62871437.49896691</v>
      </c>
      <c r="F6" s="67">
        <f>'PROFIT LOSS STATEMENT'!F25</f>
        <v>80170664.486212611</v>
      </c>
      <c r="G6" s="67">
        <f>'PROFIT LOSS STATEMENT'!G25</f>
        <v>99329174.502060771</v>
      </c>
    </row>
    <row r="7" spans="1:8" x14ac:dyDescent="0.25">
      <c r="A7" t="s">
        <v>101</v>
      </c>
      <c r="C7" s="67">
        <f>'PROFIT LOSS STATEMENT'!C34</f>
        <v>23359000.710000001</v>
      </c>
      <c r="D7" s="67">
        <f>'PROFIT LOSS STATEMENT'!D34</f>
        <v>33669204.526363388</v>
      </c>
      <c r="E7" s="67">
        <f>'PROFIT LOSS STATEMENT'!E34</f>
        <v>44825031.806720525</v>
      </c>
      <c r="F7" s="67">
        <f>'PROFIT LOSS STATEMENT'!F34</f>
        <v>57051195.601364665</v>
      </c>
      <c r="G7" s="67">
        <f>'PROFIT LOSS STATEMENT'!G34</f>
        <v>70653737.712616861</v>
      </c>
    </row>
    <row r="8" spans="1:8" x14ac:dyDescent="0.25">
      <c r="A8" t="s">
        <v>145</v>
      </c>
      <c r="C8" s="45">
        <f>C7/C5</f>
        <v>0.21235454997859501</v>
      </c>
      <c r="D8" s="45">
        <f t="shared" ref="D8:G8" si="0">D7/D5</f>
        <v>0.26615971536793642</v>
      </c>
      <c r="E8" s="45">
        <f t="shared" si="0"/>
        <v>0.3081287567096358</v>
      </c>
      <c r="F8" s="45">
        <f t="shared" si="0"/>
        <v>0.34101896627861544</v>
      </c>
      <c r="G8" s="45">
        <f t="shared" si="0"/>
        <v>0.3672409345510147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5883-CF0F-40E7-AD25-D9AFEB8C3912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DB2-F616-4593-BF21-54A7A88823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FF86-D264-4A5B-99FB-96908807FD2F}">
  <dimension ref="A2:V110"/>
  <sheetViews>
    <sheetView showGridLines="0" tabSelected="1" topLeftCell="J1" workbookViewId="0">
      <selection activeCell="C16" sqref="C16"/>
    </sheetView>
  </sheetViews>
  <sheetFormatPr defaultRowHeight="15" x14ac:dyDescent="0.25"/>
  <cols>
    <col min="1" max="1" width="14" bestFit="1" customWidth="1"/>
    <col min="2" max="2" width="5.28515625" bestFit="1" customWidth="1"/>
    <col min="3" max="3" width="14.42578125" bestFit="1" customWidth="1"/>
    <col min="4" max="4" width="11.140625" bestFit="1" customWidth="1"/>
    <col min="5" max="5" width="12.7109375" bestFit="1" customWidth="1"/>
    <col min="6" max="6" width="17.28515625" bestFit="1" customWidth="1"/>
    <col min="7" max="7" width="11.85546875" bestFit="1" customWidth="1"/>
    <col min="8" max="8" width="26.140625" bestFit="1" customWidth="1"/>
    <col min="9" max="9" width="12.5703125" bestFit="1" customWidth="1"/>
    <col min="12" max="12" width="16" bestFit="1" customWidth="1"/>
    <col min="13" max="13" width="7.42578125" bestFit="1" customWidth="1"/>
    <col min="14" max="14" width="14.5703125" bestFit="1" customWidth="1"/>
    <col min="15" max="15" width="11.140625" bestFit="1" customWidth="1"/>
    <col min="16" max="16" width="16.140625" bestFit="1" customWidth="1"/>
    <col min="17" max="17" width="17.42578125" bestFit="1" customWidth="1"/>
    <col min="18" max="18" width="12.140625" bestFit="1" customWidth="1"/>
    <col min="19" max="19" width="16.85546875" bestFit="1" customWidth="1"/>
    <col min="20" max="21" width="12.7109375" bestFit="1" customWidth="1"/>
    <col min="22" max="22" width="16.7109375" bestFit="1" customWidth="1"/>
  </cols>
  <sheetData>
    <row r="2" spans="1:22" ht="15" customHeight="1" x14ac:dyDescent="0.4">
      <c r="A2" s="82" t="s">
        <v>24</v>
      </c>
      <c r="B2" s="82"/>
      <c r="C2" s="82"/>
      <c r="D2" s="82"/>
      <c r="E2" s="82"/>
      <c r="F2" s="82"/>
      <c r="G2" s="82"/>
      <c r="H2" s="82"/>
      <c r="I2" s="10"/>
      <c r="J2" s="10"/>
      <c r="L2" s="82" t="s">
        <v>24</v>
      </c>
      <c r="M2" s="82"/>
      <c r="N2" s="82"/>
      <c r="O2" s="82"/>
      <c r="P2" s="82"/>
      <c r="Q2" s="82"/>
      <c r="R2" s="82"/>
      <c r="S2" s="82"/>
    </row>
    <row r="3" spans="1:22" ht="15" customHeight="1" x14ac:dyDescent="0.4">
      <c r="A3" s="82"/>
      <c r="B3" s="82"/>
      <c r="C3" s="82"/>
      <c r="D3" s="82"/>
      <c r="E3" s="82"/>
      <c r="F3" s="82"/>
      <c r="G3" s="82"/>
      <c r="H3" s="82"/>
      <c r="I3" s="10"/>
      <c r="J3" s="10"/>
      <c r="L3" s="82"/>
      <c r="M3" s="82"/>
      <c r="N3" s="82"/>
      <c r="O3" s="82"/>
      <c r="P3" s="82"/>
      <c r="Q3" s="82"/>
      <c r="R3" s="82"/>
      <c r="S3" s="82"/>
    </row>
    <row r="5" spans="1:22" x14ac:dyDescent="0.25">
      <c r="A5" s="13" t="s">
        <v>25</v>
      </c>
      <c r="B5" s="13"/>
      <c r="C5" s="13">
        <v>4000000</v>
      </c>
      <c r="F5" s="13" t="s">
        <v>30</v>
      </c>
      <c r="G5" s="13"/>
      <c r="H5" s="16">
        <f>PMT(C7,C6,C5)</f>
        <v>-1055189.9231789818</v>
      </c>
      <c r="L5" s="13" t="s">
        <v>25</v>
      </c>
      <c r="M5" s="13"/>
      <c r="N5" s="13">
        <v>4000000</v>
      </c>
      <c r="Q5" s="13" t="s">
        <v>30</v>
      </c>
      <c r="R5" s="13"/>
      <c r="S5" s="16">
        <f>PMT(N9,N6*N7,N5)</f>
        <v>-60696.656391217322</v>
      </c>
    </row>
    <row r="6" spans="1:22" x14ac:dyDescent="0.25">
      <c r="A6" s="13" t="s">
        <v>26</v>
      </c>
      <c r="B6" s="13"/>
      <c r="C6" s="13">
        <v>5</v>
      </c>
      <c r="L6" s="13" t="s">
        <v>26</v>
      </c>
      <c r="M6" s="13"/>
      <c r="N6" s="13">
        <v>8</v>
      </c>
    </row>
    <row r="7" spans="1:22" x14ac:dyDescent="0.25">
      <c r="A7" s="13" t="s">
        <v>27</v>
      </c>
      <c r="B7" s="13"/>
      <c r="C7" s="15">
        <v>0.1</v>
      </c>
      <c r="L7" s="13" t="s">
        <v>37</v>
      </c>
      <c r="M7" s="13"/>
      <c r="N7" s="13">
        <v>12</v>
      </c>
    </row>
    <row r="8" spans="1:22" x14ac:dyDescent="0.25">
      <c r="L8" s="13" t="s">
        <v>27</v>
      </c>
      <c r="M8" s="13"/>
      <c r="N8" s="15">
        <v>0.1</v>
      </c>
      <c r="P8" t="s">
        <v>40</v>
      </c>
      <c r="Q8" s="83">
        <v>45809</v>
      </c>
      <c r="R8" s="83"/>
      <c r="S8" s="83"/>
    </row>
    <row r="9" spans="1:22" ht="15.75" x14ac:dyDescent="0.25">
      <c r="L9" s="13" t="s">
        <v>38</v>
      </c>
      <c r="M9" s="13"/>
      <c r="N9" s="18">
        <f>N8/12</f>
        <v>8.3333333333333332E-3</v>
      </c>
      <c r="Q9" s="12" t="s">
        <v>31</v>
      </c>
      <c r="R9" s="12" t="s">
        <v>32</v>
      </c>
      <c r="S9" s="12" t="s">
        <v>33</v>
      </c>
      <c r="T9" s="12" t="s">
        <v>36</v>
      </c>
      <c r="U9" s="12" t="s">
        <v>34</v>
      </c>
      <c r="V9" s="12" t="s">
        <v>39</v>
      </c>
    </row>
    <row r="10" spans="1:22" x14ac:dyDescent="0.25">
      <c r="A10" s="13" t="s">
        <v>28</v>
      </c>
      <c r="B10" s="13"/>
      <c r="C10" s="17">
        <v>44927</v>
      </c>
      <c r="L10" s="13" t="s">
        <v>28</v>
      </c>
      <c r="M10" s="13"/>
      <c r="N10" s="17">
        <v>44927</v>
      </c>
      <c r="Q10" s="20">
        <f>VLOOKUP($Q$8,$M$15:$S$110,MATCH(Q9,$M$14:$S$14,0),FALSE)</f>
        <v>3106548.6339399233</v>
      </c>
      <c r="R10" s="20">
        <f t="shared" ref="R10:V10" si="0">VLOOKUP($Q$8,$M$15:$S$110,MATCH(R9,$M$14:$S$14,0),FALSE)</f>
        <v>25887.905282832693</v>
      </c>
      <c r="S10" s="20">
        <f t="shared" si="0"/>
        <v>3132436.5392227559</v>
      </c>
      <c r="T10" s="20">
        <f t="shared" si="0"/>
        <v>-60696.656391217322</v>
      </c>
      <c r="U10" s="20">
        <f t="shared" si="0"/>
        <v>-34808.751108384633</v>
      </c>
      <c r="V10" s="20">
        <f t="shared" si="0"/>
        <v>3071739.8828315386</v>
      </c>
    </row>
    <row r="11" spans="1:22" x14ac:dyDescent="0.25">
      <c r="A11" s="13" t="s">
        <v>29</v>
      </c>
      <c r="B11" s="13"/>
      <c r="C11" s="17">
        <v>46752</v>
      </c>
      <c r="L11" s="13" t="s">
        <v>29</v>
      </c>
      <c r="M11" s="13"/>
      <c r="N11" s="17">
        <v>47848</v>
      </c>
    </row>
    <row r="14" spans="1:22" ht="15.75" x14ac:dyDescent="0.25">
      <c r="B14" s="12" t="s">
        <v>26</v>
      </c>
      <c r="C14" s="12" t="s">
        <v>31</v>
      </c>
      <c r="D14" s="12" t="s">
        <v>32</v>
      </c>
      <c r="E14" s="12" t="s">
        <v>33</v>
      </c>
      <c r="F14" s="12" t="s">
        <v>36</v>
      </c>
      <c r="G14" s="12" t="s">
        <v>34</v>
      </c>
      <c r="H14" s="12" t="s">
        <v>35</v>
      </c>
      <c r="M14" s="12" t="s">
        <v>26</v>
      </c>
      <c r="N14" s="12" t="s">
        <v>31</v>
      </c>
      <c r="O14" s="12" t="s">
        <v>32</v>
      </c>
      <c r="P14" s="12" t="s">
        <v>33</v>
      </c>
      <c r="Q14" s="12" t="s">
        <v>36</v>
      </c>
      <c r="R14" s="12" t="s">
        <v>34</v>
      </c>
      <c r="S14" s="12" t="s">
        <v>39</v>
      </c>
    </row>
    <row r="15" spans="1:22" x14ac:dyDescent="0.25">
      <c r="B15" s="13">
        <v>2023</v>
      </c>
      <c r="C15" s="14">
        <f>C5</f>
        <v>4000000</v>
      </c>
      <c r="D15" s="14">
        <f>C15*$C$7</f>
        <v>400000</v>
      </c>
      <c r="E15" s="14">
        <f>SUM(C15:D15)</f>
        <v>4400000</v>
      </c>
      <c r="F15" s="66">
        <f>$H$5</f>
        <v>-1055189.9231789818</v>
      </c>
      <c r="G15" s="14">
        <f>F15+D15</f>
        <v>-655189.92317898176</v>
      </c>
      <c r="H15" s="14">
        <f>E15+F15</f>
        <v>3344810.076821018</v>
      </c>
      <c r="M15" s="19">
        <v>44927</v>
      </c>
      <c r="N15" s="20">
        <f>N5</f>
        <v>4000000</v>
      </c>
      <c r="O15" s="20">
        <f>N15*$N$9</f>
        <v>33333.333333333336</v>
      </c>
      <c r="P15" s="20">
        <f>SUM(N15:O15)</f>
        <v>4033333.3333333335</v>
      </c>
      <c r="Q15" s="20">
        <f>$S$5</f>
        <v>-60696.656391217322</v>
      </c>
      <c r="R15" s="20">
        <f>Q15+O15</f>
        <v>-27363.323057883987</v>
      </c>
      <c r="S15" s="20">
        <f>P15+Q15</f>
        <v>3972636.6769421161</v>
      </c>
    </row>
    <row r="16" spans="1:22" x14ac:dyDescent="0.25">
      <c r="B16" s="13">
        <v>2024</v>
      </c>
      <c r="C16" s="14">
        <f>H15</f>
        <v>3344810.076821018</v>
      </c>
      <c r="D16" s="14">
        <f t="shared" ref="D16:D19" si="1">C16*$C$7</f>
        <v>334481.0076821018</v>
      </c>
      <c r="E16" s="14">
        <f t="shared" ref="E16:E19" si="2">SUM(C16:D16)</f>
        <v>3679291.0845031198</v>
      </c>
      <c r="F16" s="66">
        <f t="shared" ref="F16:F19" si="3">$H$5</f>
        <v>-1055189.9231789818</v>
      </c>
      <c r="G16" s="14">
        <f t="shared" ref="G16:G19" si="4">F16+D16</f>
        <v>-720708.91549687996</v>
      </c>
      <c r="H16" s="14">
        <f t="shared" ref="H16:H19" si="5">E16+F16</f>
        <v>2624101.1613241378</v>
      </c>
      <c r="M16" s="19">
        <v>44958</v>
      </c>
      <c r="N16" s="20">
        <f>S15</f>
        <v>3972636.6769421161</v>
      </c>
      <c r="O16" s="20">
        <f>N16*$N$9</f>
        <v>33105.305641184299</v>
      </c>
      <c r="P16" s="20">
        <f>SUM(N16:O16)</f>
        <v>4005741.9825833002</v>
      </c>
      <c r="Q16" s="20">
        <f>$S$5</f>
        <v>-60696.656391217322</v>
      </c>
      <c r="R16" s="20">
        <f>Q16+O16</f>
        <v>-27591.350750033023</v>
      </c>
      <c r="S16" s="20">
        <f>P16+Q16</f>
        <v>3945045.3261920828</v>
      </c>
    </row>
    <row r="17" spans="2:19" x14ac:dyDescent="0.25">
      <c r="B17" s="13">
        <v>2025</v>
      </c>
      <c r="C17" s="14">
        <f t="shared" ref="C17:C19" si="6">H16</f>
        <v>2624101.1613241378</v>
      </c>
      <c r="D17" s="14">
        <f t="shared" si="1"/>
        <v>262410.11613241379</v>
      </c>
      <c r="E17" s="14">
        <f t="shared" si="2"/>
        <v>2886511.2774565518</v>
      </c>
      <c r="F17" s="66">
        <f t="shared" si="3"/>
        <v>-1055189.9231789818</v>
      </c>
      <c r="G17" s="14">
        <f t="shared" si="4"/>
        <v>-792779.80704656802</v>
      </c>
      <c r="H17" s="14">
        <f t="shared" si="5"/>
        <v>1831321.35427757</v>
      </c>
      <c r="M17" s="19">
        <v>44986</v>
      </c>
      <c r="N17" s="20">
        <f t="shared" ref="N17:N70" si="7">S16</f>
        <v>3945045.3261920828</v>
      </c>
      <c r="O17" s="20">
        <f t="shared" ref="O17:O79" si="8">N17*$N$9</f>
        <v>32875.377718267358</v>
      </c>
      <c r="P17" s="20">
        <f t="shared" ref="P17:P20" si="9">SUM(N17:O17)</f>
        <v>3977920.7039103503</v>
      </c>
      <c r="Q17" s="20">
        <f t="shared" ref="Q17:Q79" si="10">$S$5</f>
        <v>-60696.656391217322</v>
      </c>
      <c r="R17" s="20">
        <f t="shared" ref="R17:R20" si="11">Q17+O17</f>
        <v>-27821.278672949964</v>
      </c>
      <c r="S17" s="20">
        <f t="shared" ref="S17:S20" si="12">P17+Q17</f>
        <v>3917224.047519133</v>
      </c>
    </row>
    <row r="18" spans="2:19" x14ac:dyDescent="0.25">
      <c r="B18" s="13">
        <v>2026</v>
      </c>
      <c r="C18" s="14">
        <f t="shared" si="6"/>
        <v>1831321.35427757</v>
      </c>
      <c r="D18" s="14">
        <f t="shared" si="1"/>
        <v>183132.13542775702</v>
      </c>
      <c r="E18" s="14">
        <f t="shared" si="2"/>
        <v>2014453.489705327</v>
      </c>
      <c r="F18" s="66">
        <f t="shared" si="3"/>
        <v>-1055189.9231789818</v>
      </c>
      <c r="G18" s="14">
        <f t="shared" si="4"/>
        <v>-872057.78775122471</v>
      </c>
      <c r="H18" s="14">
        <f t="shared" si="5"/>
        <v>959263.56652634521</v>
      </c>
      <c r="M18" s="19">
        <v>45017</v>
      </c>
      <c r="N18" s="20">
        <f t="shared" si="7"/>
        <v>3917224.047519133</v>
      </c>
      <c r="O18" s="20">
        <f t="shared" si="8"/>
        <v>32643.533729326107</v>
      </c>
      <c r="P18" s="20">
        <f t="shared" si="9"/>
        <v>3949867.5812484589</v>
      </c>
      <c r="Q18" s="20">
        <f t="shared" si="10"/>
        <v>-60696.656391217322</v>
      </c>
      <c r="R18" s="20">
        <f t="shared" si="11"/>
        <v>-28053.122661891215</v>
      </c>
      <c r="S18" s="20">
        <f t="shared" si="12"/>
        <v>3889170.9248572416</v>
      </c>
    </row>
    <row r="19" spans="2:19" x14ac:dyDescent="0.25">
      <c r="B19" s="13">
        <v>2027</v>
      </c>
      <c r="C19" s="14">
        <f t="shared" si="6"/>
        <v>959263.56652634521</v>
      </c>
      <c r="D19" s="14">
        <f t="shared" si="1"/>
        <v>95926.356652634524</v>
      </c>
      <c r="E19" s="14">
        <f t="shared" si="2"/>
        <v>1055189.9231789797</v>
      </c>
      <c r="F19" s="66">
        <f t="shared" si="3"/>
        <v>-1055189.9231789818</v>
      </c>
      <c r="G19" s="14">
        <f t="shared" si="4"/>
        <v>-959263.56652634719</v>
      </c>
      <c r="H19" s="14">
        <f t="shared" si="5"/>
        <v>-2.0954757928848267E-9</v>
      </c>
      <c r="M19" s="19">
        <v>45047</v>
      </c>
      <c r="N19" s="20">
        <f t="shared" si="7"/>
        <v>3889170.9248572416</v>
      </c>
      <c r="O19" s="20">
        <f t="shared" si="8"/>
        <v>32409.757707143679</v>
      </c>
      <c r="P19" s="20">
        <f t="shared" si="9"/>
        <v>3921580.6825643852</v>
      </c>
      <c r="Q19" s="20">
        <f t="shared" si="10"/>
        <v>-60696.656391217322</v>
      </c>
      <c r="R19" s="20">
        <f t="shared" si="11"/>
        <v>-28286.898684073643</v>
      </c>
      <c r="S19" s="20">
        <f t="shared" si="12"/>
        <v>3860884.0261731679</v>
      </c>
    </row>
    <row r="20" spans="2:19" x14ac:dyDescent="0.25">
      <c r="C20" s="11"/>
      <c r="D20" s="11"/>
      <c r="E20" s="11"/>
      <c r="F20" s="11"/>
      <c r="G20" s="11"/>
      <c r="H20" s="11"/>
      <c r="M20" s="19">
        <v>45078</v>
      </c>
      <c r="N20" s="20">
        <f t="shared" si="7"/>
        <v>3860884.0261731679</v>
      </c>
      <c r="O20" s="20">
        <f t="shared" si="8"/>
        <v>32174.033551443066</v>
      </c>
      <c r="P20" s="20">
        <f t="shared" si="9"/>
        <v>3893058.0597246108</v>
      </c>
      <c r="Q20" s="20">
        <f t="shared" si="10"/>
        <v>-60696.656391217322</v>
      </c>
      <c r="R20" s="20">
        <f t="shared" si="11"/>
        <v>-28522.622839774256</v>
      </c>
      <c r="S20" s="20">
        <f t="shared" si="12"/>
        <v>3832361.4033333934</v>
      </c>
    </row>
    <row r="21" spans="2:19" x14ac:dyDescent="0.25">
      <c r="M21" s="19">
        <v>45108</v>
      </c>
      <c r="N21" s="20">
        <f t="shared" si="7"/>
        <v>3832361.4033333934</v>
      </c>
      <c r="O21" s="20">
        <f t="shared" si="8"/>
        <v>31936.345027778279</v>
      </c>
      <c r="P21" s="20">
        <f t="shared" ref="P21:P70" si="13">SUM(N21:O21)</f>
        <v>3864297.7483611717</v>
      </c>
      <c r="Q21" s="20">
        <f t="shared" si="10"/>
        <v>-60696.656391217322</v>
      </c>
      <c r="R21" s="20">
        <f t="shared" ref="R21:R70" si="14">Q21+O21</f>
        <v>-28760.311363439043</v>
      </c>
      <c r="S21" s="20">
        <f t="shared" ref="S21:S70" si="15">P21+Q21</f>
        <v>3803601.0919699543</v>
      </c>
    </row>
    <row r="22" spans="2:19" x14ac:dyDescent="0.25">
      <c r="M22" s="19">
        <v>45139</v>
      </c>
      <c r="N22" s="20">
        <f t="shared" si="7"/>
        <v>3803601.0919699543</v>
      </c>
      <c r="O22" s="20">
        <f t="shared" si="8"/>
        <v>31696.675766416287</v>
      </c>
      <c r="P22" s="20">
        <f t="shared" si="13"/>
        <v>3835297.7677363707</v>
      </c>
      <c r="Q22" s="20">
        <f t="shared" si="10"/>
        <v>-60696.656391217322</v>
      </c>
      <c r="R22" s="20">
        <f t="shared" si="14"/>
        <v>-28999.980624801035</v>
      </c>
      <c r="S22" s="20">
        <f t="shared" si="15"/>
        <v>3774601.1113451533</v>
      </c>
    </row>
    <row r="23" spans="2:19" x14ac:dyDescent="0.25">
      <c r="M23" s="19">
        <v>45170</v>
      </c>
      <c r="N23" s="20">
        <f t="shared" si="7"/>
        <v>3774601.1113451533</v>
      </c>
      <c r="O23" s="20">
        <f t="shared" si="8"/>
        <v>31455.009261209609</v>
      </c>
      <c r="P23" s="20">
        <f t="shared" si="13"/>
        <v>3806056.1206063628</v>
      </c>
      <c r="Q23" s="20">
        <f t="shared" si="10"/>
        <v>-60696.656391217322</v>
      </c>
      <c r="R23" s="20">
        <f t="shared" si="14"/>
        <v>-29241.647130007714</v>
      </c>
      <c r="S23" s="20">
        <f t="shared" si="15"/>
        <v>3745359.4642151454</v>
      </c>
    </row>
    <row r="24" spans="2:19" x14ac:dyDescent="0.25">
      <c r="M24" s="19">
        <v>45200</v>
      </c>
      <c r="N24" s="20">
        <f t="shared" si="7"/>
        <v>3745359.4642151454</v>
      </c>
      <c r="O24" s="20">
        <f t="shared" si="8"/>
        <v>31211.328868459546</v>
      </c>
      <c r="P24" s="20">
        <f t="shared" si="13"/>
        <v>3776570.7930836049</v>
      </c>
      <c r="Q24" s="20">
        <f t="shared" si="10"/>
        <v>-60696.656391217322</v>
      </c>
      <c r="R24" s="20">
        <f t="shared" si="14"/>
        <v>-29485.327522757776</v>
      </c>
      <c r="S24" s="20">
        <f t="shared" si="15"/>
        <v>3715874.1366923875</v>
      </c>
    </row>
    <row r="25" spans="2:19" x14ac:dyDescent="0.25">
      <c r="M25" s="19">
        <v>45231</v>
      </c>
      <c r="N25" s="20">
        <f t="shared" si="7"/>
        <v>3715874.1366923875</v>
      </c>
      <c r="O25" s="20">
        <f t="shared" si="8"/>
        <v>30965.617805769896</v>
      </c>
      <c r="P25" s="20">
        <f t="shared" si="13"/>
        <v>3746839.7544981572</v>
      </c>
      <c r="Q25" s="20">
        <f t="shared" si="10"/>
        <v>-60696.656391217322</v>
      </c>
      <c r="R25" s="20">
        <f t="shared" si="14"/>
        <v>-29731.038585447426</v>
      </c>
      <c r="S25" s="20">
        <f t="shared" si="15"/>
        <v>3686143.0981069398</v>
      </c>
    </row>
    <row r="26" spans="2:19" x14ac:dyDescent="0.25">
      <c r="M26" s="19">
        <v>45261</v>
      </c>
      <c r="N26" s="20">
        <f t="shared" si="7"/>
        <v>3686143.0981069398</v>
      </c>
      <c r="O26" s="20">
        <f t="shared" si="8"/>
        <v>30717.859150891163</v>
      </c>
      <c r="P26" s="20">
        <f t="shared" si="13"/>
        <v>3716860.957257831</v>
      </c>
      <c r="Q26" s="20">
        <f t="shared" si="10"/>
        <v>-60696.656391217322</v>
      </c>
      <c r="R26" s="20">
        <f t="shared" si="14"/>
        <v>-29978.797240326159</v>
      </c>
      <c r="S26" s="20">
        <f t="shared" si="15"/>
        <v>3656164.3008666136</v>
      </c>
    </row>
    <row r="27" spans="2:19" x14ac:dyDescent="0.25">
      <c r="M27" s="19">
        <v>45292</v>
      </c>
      <c r="N27" s="20">
        <f t="shared" si="7"/>
        <v>3656164.3008666136</v>
      </c>
      <c r="O27" s="20">
        <f t="shared" si="8"/>
        <v>30468.035840555112</v>
      </c>
      <c r="P27" s="20">
        <f t="shared" si="13"/>
        <v>3686632.3367071687</v>
      </c>
      <c r="Q27" s="20">
        <f t="shared" si="10"/>
        <v>-60696.656391217322</v>
      </c>
      <c r="R27" s="20">
        <f t="shared" si="14"/>
        <v>-30228.62055066221</v>
      </c>
      <c r="S27" s="20">
        <f t="shared" si="15"/>
        <v>3625935.6803159514</v>
      </c>
    </row>
    <row r="28" spans="2:19" x14ac:dyDescent="0.25">
      <c r="M28" s="19">
        <v>45323</v>
      </c>
      <c r="N28" s="20">
        <f t="shared" si="7"/>
        <v>3625935.6803159514</v>
      </c>
      <c r="O28" s="20">
        <f t="shared" si="8"/>
        <v>30216.130669299593</v>
      </c>
      <c r="P28" s="20">
        <f t="shared" si="13"/>
        <v>3656151.8109852509</v>
      </c>
      <c r="Q28" s="20">
        <f t="shared" si="10"/>
        <v>-60696.656391217322</v>
      </c>
      <c r="R28" s="20">
        <f t="shared" si="14"/>
        <v>-30480.525721917729</v>
      </c>
      <c r="S28" s="20">
        <f t="shared" si="15"/>
        <v>3595455.1545940335</v>
      </c>
    </row>
    <row r="29" spans="2:19" x14ac:dyDescent="0.25">
      <c r="M29" s="19">
        <v>45352</v>
      </c>
      <c r="N29" s="20">
        <f t="shared" si="7"/>
        <v>3595455.1545940335</v>
      </c>
      <c r="O29" s="20">
        <f t="shared" si="8"/>
        <v>29962.126288283613</v>
      </c>
      <c r="P29" s="20">
        <f t="shared" si="13"/>
        <v>3625417.2808823171</v>
      </c>
      <c r="Q29" s="20">
        <f t="shared" si="10"/>
        <v>-60696.656391217322</v>
      </c>
      <c r="R29" s="20">
        <f t="shared" si="14"/>
        <v>-30734.53010293371</v>
      </c>
      <c r="S29" s="20">
        <f t="shared" si="15"/>
        <v>3564720.6244910997</v>
      </c>
    </row>
    <row r="30" spans="2:19" x14ac:dyDescent="0.25">
      <c r="M30" s="19">
        <v>45383</v>
      </c>
      <c r="N30" s="20">
        <f t="shared" si="7"/>
        <v>3564720.6244910997</v>
      </c>
      <c r="O30" s="20">
        <f t="shared" si="8"/>
        <v>29706.005204092497</v>
      </c>
      <c r="P30" s="20">
        <f t="shared" si="13"/>
        <v>3594426.6296951924</v>
      </c>
      <c r="Q30" s="20">
        <f t="shared" si="10"/>
        <v>-60696.656391217322</v>
      </c>
      <c r="R30" s="20">
        <f t="shared" si="14"/>
        <v>-30990.651187124826</v>
      </c>
      <c r="S30" s="20">
        <f t="shared" si="15"/>
        <v>3533729.9733039751</v>
      </c>
    </row>
    <row r="31" spans="2:19" x14ac:dyDescent="0.25">
      <c r="M31" s="19">
        <v>45413</v>
      </c>
      <c r="N31" s="20">
        <f t="shared" si="7"/>
        <v>3533729.9733039751</v>
      </c>
      <c r="O31" s="20">
        <f t="shared" si="8"/>
        <v>29447.749777533125</v>
      </c>
      <c r="P31" s="20">
        <f t="shared" si="13"/>
        <v>3563177.7230815082</v>
      </c>
      <c r="Q31" s="20">
        <f t="shared" si="10"/>
        <v>-60696.656391217322</v>
      </c>
      <c r="R31" s="20">
        <f t="shared" si="14"/>
        <v>-31248.906613684198</v>
      </c>
      <c r="S31" s="20">
        <f t="shared" si="15"/>
        <v>3502481.0666902908</v>
      </c>
    </row>
    <row r="32" spans="2:19" x14ac:dyDescent="0.25">
      <c r="M32" s="19">
        <v>45444</v>
      </c>
      <c r="N32" s="20">
        <f t="shared" si="7"/>
        <v>3502481.0666902908</v>
      </c>
      <c r="O32" s="20">
        <f t="shared" si="8"/>
        <v>29187.342222419091</v>
      </c>
      <c r="P32" s="20">
        <f t="shared" si="13"/>
        <v>3531668.4089127099</v>
      </c>
      <c r="Q32" s="20">
        <f t="shared" si="10"/>
        <v>-60696.656391217322</v>
      </c>
      <c r="R32" s="20">
        <f t="shared" si="14"/>
        <v>-31509.314168798232</v>
      </c>
      <c r="S32" s="20">
        <f t="shared" si="15"/>
        <v>3470971.7525214925</v>
      </c>
    </row>
    <row r="33" spans="13:19" x14ac:dyDescent="0.25">
      <c r="M33" s="19">
        <v>45474</v>
      </c>
      <c r="N33" s="20">
        <f t="shared" si="7"/>
        <v>3470971.7525214925</v>
      </c>
      <c r="O33" s="20">
        <f t="shared" si="8"/>
        <v>28924.764604345772</v>
      </c>
      <c r="P33" s="20">
        <f t="shared" si="13"/>
        <v>3499896.5171258384</v>
      </c>
      <c r="Q33" s="20">
        <f t="shared" si="10"/>
        <v>-60696.656391217322</v>
      </c>
      <c r="R33" s="20">
        <f t="shared" si="14"/>
        <v>-31771.891786871551</v>
      </c>
      <c r="S33" s="20">
        <f t="shared" si="15"/>
        <v>3439199.8607346211</v>
      </c>
    </row>
    <row r="34" spans="13:19" x14ac:dyDescent="0.25">
      <c r="M34" s="19">
        <v>45505</v>
      </c>
      <c r="N34" s="20">
        <f t="shared" si="7"/>
        <v>3439199.8607346211</v>
      </c>
      <c r="O34" s="20">
        <f t="shared" si="8"/>
        <v>28659.998839455176</v>
      </c>
      <c r="P34" s="20">
        <f t="shared" si="13"/>
        <v>3467859.8595740763</v>
      </c>
      <c r="Q34" s="20">
        <f t="shared" si="10"/>
        <v>-60696.656391217322</v>
      </c>
      <c r="R34" s="20">
        <f t="shared" si="14"/>
        <v>-32036.657551762146</v>
      </c>
      <c r="S34" s="20">
        <f t="shared" si="15"/>
        <v>3407163.2031828589</v>
      </c>
    </row>
    <row r="35" spans="13:19" x14ac:dyDescent="0.25">
      <c r="M35" s="19">
        <v>45536</v>
      </c>
      <c r="N35" s="20">
        <f t="shared" si="7"/>
        <v>3407163.2031828589</v>
      </c>
      <c r="O35" s="20">
        <f t="shared" si="8"/>
        <v>28393.026693190492</v>
      </c>
      <c r="P35" s="20">
        <f t="shared" si="13"/>
        <v>3435556.2298760493</v>
      </c>
      <c r="Q35" s="20">
        <f t="shared" si="10"/>
        <v>-60696.656391217322</v>
      </c>
      <c r="R35" s="20">
        <f t="shared" si="14"/>
        <v>-32303.629698026831</v>
      </c>
      <c r="S35" s="20">
        <f t="shared" si="15"/>
        <v>3374859.573484832</v>
      </c>
    </row>
    <row r="36" spans="13:19" x14ac:dyDescent="0.25">
      <c r="M36" s="19">
        <v>45566</v>
      </c>
      <c r="N36" s="20">
        <f t="shared" si="7"/>
        <v>3374859.573484832</v>
      </c>
      <c r="O36" s="20">
        <f t="shared" si="8"/>
        <v>28123.829779040265</v>
      </c>
      <c r="P36" s="20">
        <f t="shared" si="13"/>
        <v>3402983.403263872</v>
      </c>
      <c r="Q36" s="20">
        <f t="shared" si="10"/>
        <v>-60696.656391217322</v>
      </c>
      <c r="R36" s="20">
        <f t="shared" si="14"/>
        <v>-32572.826612177058</v>
      </c>
      <c r="S36" s="20">
        <f t="shared" si="15"/>
        <v>3342286.7468726547</v>
      </c>
    </row>
    <row r="37" spans="13:19" x14ac:dyDescent="0.25">
      <c r="M37" s="19">
        <v>45597</v>
      </c>
      <c r="N37" s="20">
        <f t="shared" si="7"/>
        <v>3342286.7468726547</v>
      </c>
      <c r="O37" s="20">
        <f t="shared" si="8"/>
        <v>27852.389557272123</v>
      </c>
      <c r="P37" s="20">
        <f t="shared" si="13"/>
        <v>3370139.1364299268</v>
      </c>
      <c r="Q37" s="20">
        <f t="shared" si="10"/>
        <v>-60696.656391217322</v>
      </c>
      <c r="R37" s="20">
        <f t="shared" si="14"/>
        <v>-32844.266833945199</v>
      </c>
      <c r="S37" s="20">
        <f t="shared" si="15"/>
        <v>3309442.4800387095</v>
      </c>
    </row>
    <row r="38" spans="13:19" x14ac:dyDescent="0.25">
      <c r="M38" s="19">
        <v>45627</v>
      </c>
      <c r="N38" s="20">
        <f t="shared" si="7"/>
        <v>3309442.4800387095</v>
      </c>
      <c r="O38" s="20">
        <f t="shared" si="8"/>
        <v>27578.687333655911</v>
      </c>
      <c r="P38" s="20">
        <f t="shared" si="13"/>
        <v>3337021.1673723655</v>
      </c>
      <c r="Q38" s="20">
        <f t="shared" si="10"/>
        <v>-60696.656391217322</v>
      </c>
      <c r="R38" s="20">
        <f t="shared" si="14"/>
        <v>-33117.969057561408</v>
      </c>
      <c r="S38" s="20">
        <f t="shared" si="15"/>
        <v>3276324.5109811481</v>
      </c>
    </row>
    <row r="39" spans="13:19" x14ac:dyDescent="0.25">
      <c r="M39" s="19">
        <v>45658</v>
      </c>
      <c r="N39" s="20">
        <f t="shared" si="7"/>
        <v>3276324.5109811481</v>
      </c>
      <c r="O39" s="20">
        <f t="shared" si="8"/>
        <v>27302.704258176233</v>
      </c>
      <c r="P39" s="20">
        <f t="shared" si="13"/>
        <v>3303627.2152393241</v>
      </c>
      <c r="Q39" s="20">
        <f t="shared" si="10"/>
        <v>-60696.656391217322</v>
      </c>
      <c r="R39" s="20">
        <f t="shared" si="14"/>
        <v>-33393.952133041093</v>
      </c>
      <c r="S39" s="20">
        <f t="shared" si="15"/>
        <v>3242930.5588481068</v>
      </c>
    </row>
    <row r="40" spans="13:19" x14ac:dyDescent="0.25">
      <c r="M40" s="19">
        <v>45689</v>
      </c>
      <c r="N40" s="20">
        <f t="shared" si="7"/>
        <v>3242930.5588481068</v>
      </c>
      <c r="O40" s="20">
        <f t="shared" si="8"/>
        <v>27024.421323734223</v>
      </c>
      <c r="P40" s="20">
        <f t="shared" si="13"/>
        <v>3269954.9801718411</v>
      </c>
      <c r="Q40" s="20">
        <f t="shared" si="10"/>
        <v>-60696.656391217322</v>
      </c>
      <c r="R40" s="20">
        <f t="shared" si="14"/>
        <v>-33672.235067483096</v>
      </c>
      <c r="S40" s="20">
        <f t="shared" si="15"/>
        <v>3209258.3237806237</v>
      </c>
    </row>
    <row r="41" spans="13:19" x14ac:dyDescent="0.25">
      <c r="M41" s="19">
        <v>45717</v>
      </c>
      <c r="N41" s="20">
        <f t="shared" si="7"/>
        <v>3209258.3237806237</v>
      </c>
      <c r="O41" s="20">
        <f t="shared" si="8"/>
        <v>26743.819364838531</v>
      </c>
      <c r="P41" s="20">
        <f t="shared" si="13"/>
        <v>3236002.143145462</v>
      </c>
      <c r="Q41" s="20">
        <f t="shared" si="10"/>
        <v>-60696.656391217322</v>
      </c>
      <c r="R41" s="20">
        <f t="shared" si="14"/>
        <v>-33952.837026378795</v>
      </c>
      <c r="S41" s="20">
        <f t="shared" si="15"/>
        <v>3175305.4867542447</v>
      </c>
    </row>
    <row r="42" spans="13:19" x14ac:dyDescent="0.25">
      <c r="M42" s="19">
        <v>45748</v>
      </c>
      <c r="N42" s="20">
        <f t="shared" si="7"/>
        <v>3175305.4867542447</v>
      </c>
      <c r="O42" s="20">
        <f t="shared" si="8"/>
        <v>26460.879056285372</v>
      </c>
      <c r="P42" s="20">
        <f t="shared" si="13"/>
        <v>3201766.3658105303</v>
      </c>
      <c r="Q42" s="20">
        <f t="shared" si="10"/>
        <v>-60696.656391217322</v>
      </c>
      <c r="R42" s="20">
        <f t="shared" si="14"/>
        <v>-34235.777334931947</v>
      </c>
      <c r="S42" s="20">
        <f t="shared" si="15"/>
        <v>3141069.7094193129</v>
      </c>
    </row>
    <row r="43" spans="13:19" x14ac:dyDescent="0.25">
      <c r="M43" s="19">
        <v>45778</v>
      </c>
      <c r="N43" s="20">
        <f t="shared" si="7"/>
        <v>3141069.7094193129</v>
      </c>
      <c r="O43" s="20">
        <f t="shared" si="8"/>
        <v>26175.580911827608</v>
      </c>
      <c r="P43" s="20">
        <f t="shared" si="13"/>
        <v>3167245.2903311406</v>
      </c>
      <c r="Q43" s="20">
        <f t="shared" si="10"/>
        <v>-60696.656391217322</v>
      </c>
      <c r="R43" s="20">
        <f t="shared" si="14"/>
        <v>-34521.075479389714</v>
      </c>
      <c r="S43" s="20">
        <f t="shared" si="15"/>
        <v>3106548.6339399233</v>
      </c>
    </row>
    <row r="44" spans="13:19" x14ac:dyDescent="0.25">
      <c r="M44" s="19">
        <v>45809</v>
      </c>
      <c r="N44" s="20">
        <f t="shared" si="7"/>
        <v>3106548.6339399233</v>
      </c>
      <c r="O44" s="20">
        <f t="shared" si="8"/>
        <v>25887.905282832693</v>
      </c>
      <c r="P44" s="20">
        <f t="shared" si="13"/>
        <v>3132436.5392227559</v>
      </c>
      <c r="Q44" s="20">
        <f t="shared" si="10"/>
        <v>-60696.656391217322</v>
      </c>
      <c r="R44" s="20">
        <f t="shared" si="14"/>
        <v>-34808.751108384633</v>
      </c>
      <c r="S44" s="20">
        <f t="shared" si="15"/>
        <v>3071739.8828315386</v>
      </c>
    </row>
    <row r="45" spans="13:19" x14ac:dyDescent="0.25">
      <c r="M45" s="19">
        <v>45839</v>
      </c>
      <c r="N45" s="20">
        <f t="shared" si="7"/>
        <v>3071739.8828315386</v>
      </c>
      <c r="O45" s="20">
        <f t="shared" si="8"/>
        <v>25597.832356929488</v>
      </c>
      <c r="P45" s="20">
        <f t="shared" si="13"/>
        <v>3097337.7151884679</v>
      </c>
      <c r="Q45" s="20">
        <f t="shared" si="10"/>
        <v>-60696.656391217322</v>
      </c>
      <c r="R45" s="20">
        <f t="shared" si="14"/>
        <v>-35098.824034287834</v>
      </c>
      <c r="S45" s="20">
        <f t="shared" si="15"/>
        <v>3036641.0587972505</v>
      </c>
    </row>
    <row r="46" spans="13:19" x14ac:dyDescent="0.25">
      <c r="M46" s="19">
        <v>45870</v>
      </c>
      <c r="N46" s="20">
        <f t="shared" si="7"/>
        <v>3036641.0587972505</v>
      </c>
      <c r="O46" s="20">
        <f t="shared" si="8"/>
        <v>25305.342156643754</v>
      </c>
      <c r="P46" s="20">
        <f t="shared" si="13"/>
        <v>3061946.4009538945</v>
      </c>
      <c r="Q46" s="20">
        <f t="shared" si="10"/>
        <v>-60696.656391217322</v>
      </c>
      <c r="R46" s="20">
        <f t="shared" si="14"/>
        <v>-35391.314234573569</v>
      </c>
      <c r="S46" s="20">
        <f t="shared" si="15"/>
        <v>3001249.7445626771</v>
      </c>
    </row>
    <row r="47" spans="13:19" x14ac:dyDescent="0.25">
      <c r="M47" s="19">
        <v>45901</v>
      </c>
      <c r="N47" s="20">
        <f t="shared" si="7"/>
        <v>3001249.7445626771</v>
      </c>
      <c r="O47" s="20">
        <f t="shared" si="8"/>
        <v>25010.414538022309</v>
      </c>
      <c r="P47" s="20">
        <f t="shared" si="13"/>
        <v>3026260.1591006992</v>
      </c>
      <c r="Q47" s="20">
        <f t="shared" si="10"/>
        <v>-60696.656391217322</v>
      </c>
      <c r="R47" s="20">
        <f t="shared" si="14"/>
        <v>-35686.24185319501</v>
      </c>
      <c r="S47" s="20">
        <f t="shared" si="15"/>
        <v>2965563.5027094819</v>
      </c>
    </row>
    <row r="48" spans="13:19" x14ac:dyDescent="0.25">
      <c r="M48" s="19">
        <v>45931</v>
      </c>
      <c r="N48" s="20">
        <f t="shared" si="7"/>
        <v>2965563.5027094819</v>
      </c>
      <c r="O48" s="20">
        <f t="shared" si="8"/>
        <v>24713.029189245681</v>
      </c>
      <c r="P48" s="20">
        <f t="shared" si="13"/>
        <v>2990276.5318987276</v>
      </c>
      <c r="Q48" s="20">
        <f t="shared" si="10"/>
        <v>-60696.656391217322</v>
      </c>
      <c r="R48" s="20">
        <f t="shared" si="14"/>
        <v>-35983.627201971642</v>
      </c>
      <c r="S48" s="20">
        <f t="shared" si="15"/>
        <v>2929579.8755075103</v>
      </c>
    </row>
    <row r="49" spans="13:19" x14ac:dyDescent="0.25">
      <c r="M49" s="19">
        <v>45962</v>
      </c>
      <c r="N49" s="20">
        <f t="shared" si="7"/>
        <v>2929579.8755075103</v>
      </c>
      <c r="O49" s="20">
        <f t="shared" si="8"/>
        <v>24413.165629229254</v>
      </c>
      <c r="P49" s="20">
        <f t="shared" si="13"/>
        <v>2953993.0411367393</v>
      </c>
      <c r="Q49" s="20">
        <f t="shared" si="10"/>
        <v>-60696.656391217322</v>
      </c>
      <c r="R49" s="20">
        <f t="shared" si="14"/>
        <v>-36283.490761988069</v>
      </c>
      <c r="S49" s="20">
        <f t="shared" si="15"/>
        <v>2893296.3847455219</v>
      </c>
    </row>
    <row r="50" spans="13:19" x14ac:dyDescent="0.25">
      <c r="M50" s="19">
        <v>45992</v>
      </c>
      <c r="N50" s="20">
        <f t="shared" si="7"/>
        <v>2893296.3847455219</v>
      </c>
      <c r="O50" s="20">
        <f t="shared" si="8"/>
        <v>24110.803206212684</v>
      </c>
      <c r="P50" s="20">
        <f t="shared" si="13"/>
        <v>2917407.1879517348</v>
      </c>
      <c r="Q50" s="20">
        <f t="shared" si="10"/>
        <v>-60696.656391217322</v>
      </c>
      <c r="R50" s="20">
        <f t="shared" si="14"/>
        <v>-36585.853185004642</v>
      </c>
      <c r="S50" s="20">
        <f t="shared" si="15"/>
        <v>2856710.5315605174</v>
      </c>
    </row>
    <row r="51" spans="13:19" x14ac:dyDescent="0.25">
      <c r="M51" s="19">
        <v>46023</v>
      </c>
      <c r="N51" s="20">
        <f t="shared" si="7"/>
        <v>2856710.5315605174</v>
      </c>
      <c r="O51" s="20">
        <f t="shared" si="8"/>
        <v>23805.921096337646</v>
      </c>
      <c r="P51" s="20">
        <f t="shared" si="13"/>
        <v>2880516.4526568549</v>
      </c>
      <c r="Q51" s="20">
        <f t="shared" si="10"/>
        <v>-60696.656391217322</v>
      </c>
      <c r="R51" s="20">
        <f t="shared" si="14"/>
        <v>-36890.735294879676</v>
      </c>
      <c r="S51" s="20">
        <f t="shared" si="15"/>
        <v>2819819.7962656375</v>
      </c>
    </row>
    <row r="52" spans="13:19" x14ac:dyDescent="0.25">
      <c r="M52" s="19">
        <v>46054</v>
      </c>
      <c r="N52" s="20">
        <f t="shared" si="7"/>
        <v>2819819.7962656375</v>
      </c>
      <c r="O52" s="20">
        <f t="shared" si="8"/>
        <v>23498.498302213644</v>
      </c>
      <c r="P52" s="20">
        <f t="shared" si="13"/>
        <v>2843318.2945678513</v>
      </c>
      <c r="Q52" s="20">
        <f t="shared" si="10"/>
        <v>-60696.656391217322</v>
      </c>
      <c r="R52" s="20">
        <f t="shared" si="14"/>
        <v>-37198.158089003678</v>
      </c>
      <c r="S52" s="20">
        <f t="shared" si="15"/>
        <v>2782621.638176634</v>
      </c>
    </row>
    <row r="53" spans="13:19" x14ac:dyDescent="0.25">
      <c r="M53" s="19">
        <v>46082</v>
      </c>
      <c r="N53" s="20">
        <f t="shared" si="7"/>
        <v>2782621.638176634</v>
      </c>
      <c r="O53" s="20">
        <f t="shared" si="8"/>
        <v>23188.513651471949</v>
      </c>
      <c r="P53" s="20">
        <f t="shared" si="13"/>
        <v>2805810.151828106</v>
      </c>
      <c r="Q53" s="20">
        <f t="shared" si="10"/>
        <v>-60696.656391217322</v>
      </c>
      <c r="R53" s="20">
        <f t="shared" si="14"/>
        <v>-37508.142739745374</v>
      </c>
      <c r="S53" s="20">
        <f t="shared" si="15"/>
        <v>2745113.4954368887</v>
      </c>
    </row>
    <row r="54" spans="13:19" x14ac:dyDescent="0.25">
      <c r="M54" s="19">
        <v>46113</v>
      </c>
      <c r="N54" s="20">
        <f t="shared" si="7"/>
        <v>2745113.4954368887</v>
      </c>
      <c r="O54" s="20">
        <f t="shared" si="8"/>
        <v>22875.945795307405</v>
      </c>
      <c r="P54" s="20">
        <f t="shared" si="13"/>
        <v>2767989.4412321961</v>
      </c>
      <c r="Q54" s="20">
        <f t="shared" si="10"/>
        <v>-60696.656391217322</v>
      </c>
      <c r="R54" s="20">
        <f t="shared" si="14"/>
        <v>-37820.710595909914</v>
      </c>
      <c r="S54" s="20">
        <f t="shared" si="15"/>
        <v>2707292.7848409787</v>
      </c>
    </row>
    <row r="55" spans="13:19" x14ac:dyDescent="0.25">
      <c r="M55" s="19">
        <v>46143</v>
      </c>
      <c r="N55" s="20">
        <f t="shared" si="7"/>
        <v>2707292.7848409787</v>
      </c>
      <c r="O55" s="20">
        <f t="shared" si="8"/>
        <v>22560.773207008155</v>
      </c>
      <c r="P55" s="20">
        <f t="shared" si="13"/>
        <v>2729853.5580479871</v>
      </c>
      <c r="Q55" s="20">
        <f t="shared" si="10"/>
        <v>-60696.656391217322</v>
      </c>
      <c r="R55" s="20">
        <f t="shared" si="14"/>
        <v>-38135.883184209168</v>
      </c>
      <c r="S55" s="20">
        <f t="shared" si="15"/>
        <v>2669156.9016567697</v>
      </c>
    </row>
    <row r="56" spans="13:19" x14ac:dyDescent="0.25">
      <c r="M56" s="19">
        <v>46174</v>
      </c>
      <c r="N56" s="20">
        <f t="shared" si="7"/>
        <v>2669156.9016567697</v>
      </c>
      <c r="O56" s="20">
        <f t="shared" si="8"/>
        <v>22242.97418047308</v>
      </c>
      <c r="P56" s="20">
        <f t="shared" si="13"/>
        <v>2691399.8758372427</v>
      </c>
      <c r="Q56" s="20">
        <f t="shared" si="10"/>
        <v>-60696.656391217322</v>
      </c>
      <c r="R56" s="20">
        <f t="shared" si="14"/>
        <v>-38453.682210744242</v>
      </c>
      <c r="S56" s="20">
        <f t="shared" si="15"/>
        <v>2630703.2194460253</v>
      </c>
    </row>
    <row r="57" spans="13:19" x14ac:dyDescent="0.25">
      <c r="M57" s="19">
        <v>46204</v>
      </c>
      <c r="N57" s="20">
        <f t="shared" si="7"/>
        <v>2630703.2194460253</v>
      </c>
      <c r="O57" s="20">
        <f t="shared" si="8"/>
        <v>21922.526828716876</v>
      </c>
      <c r="P57" s="20">
        <f t="shared" si="13"/>
        <v>2652625.7462747423</v>
      </c>
      <c r="Q57" s="20">
        <f t="shared" si="10"/>
        <v>-60696.656391217322</v>
      </c>
      <c r="R57" s="20">
        <f t="shared" si="14"/>
        <v>-38774.129562500442</v>
      </c>
      <c r="S57" s="20">
        <f t="shared" si="15"/>
        <v>2591929.0898835249</v>
      </c>
    </row>
    <row r="58" spans="13:19" x14ac:dyDescent="0.25">
      <c r="M58" s="19">
        <v>46235</v>
      </c>
      <c r="N58" s="20">
        <f t="shared" si="7"/>
        <v>2591929.0898835249</v>
      </c>
      <c r="O58" s="20">
        <f t="shared" si="8"/>
        <v>21599.409082362708</v>
      </c>
      <c r="P58" s="20">
        <f t="shared" si="13"/>
        <v>2613528.4989658878</v>
      </c>
      <c r="Q58" s="20">
        <f t="shared" si="10"/>
        <v>-60696.656391217322</v>
      </c>
      <c r="R58" s="20">
        <f t="shared" si="14"/>
        <v>-39097.24730885461</v>
      </c>
      <c r="S58" s="20">
        <f t="shared" si="15"/>
        <v>2552831.8425746704</v>
      </c>
    </row>
    <row r="59" spans="13:19" x14ac:dyDescent="0.25">
      <c r="M59" s="19">
        <v>46266</v>
      </c>
      <c r="N59" s="20">
        <f t="shared" si="7"/>
        <v>2552831.8425746704</v>
      </c>
      <c r="O59" s="20">
        <f t="shared" si="8"/>
        <v>21273.598688122252</v>
      </c>
      <c r="P59" s="20">
        <f t="shared" si="13"/>
        <v>2574105.4412627928</v>
      </c>
      <c r="Q59" s="20">
        <f t="shared" si="10"/>
        <v>-60696.656391217322</v>
      </c>
      <c r="R59" s="20">
        <f t="shared" si="14"/>
        <v>-39423.057703095066</v>
      </c>
      <c r="S59" s="20">
        <f t="shared" si="15"/>
        <v>2513408.7848715754</v>
      </c>
    </row>
    <row r="60" spans="13:19" x14ac:dyDescent="0.25">
      <c r="M60" s="19">
        <v>46296</v>
      </c>
      <c r="N60" s="20">
        <f t="shared" si="7"/>
        <v>2513408.7848715754</v>
      </c>
      <c r="O60" s="20">
        <f t="shared" si="8"/>
        <v>20945.073207263129</v>
      </c>
      <c r="P60" s="20">
        <f t="shared" si="13"/>
        <v>2534353.8580788383</v>
      </c>
      <c r="Q60" s="20">
        <f t="shared" si="10"/>
        <v>-60696.656391217322</v>
      </c>
      <c r="R60" s="20">
        <f t="shared" si="14"/>
        <v>-39751.583183954193</v>
      </c>
      <c r="S60" s="20">
        <f t="shared" si="15"/>
        <v>2473657.201687621</v>
      </c>
    </row>
    <row r="61" spans="13:19" x14ac:dyDescent="0.25">
      <c r="M61" s="19">
        <v>46327</v>
      </c>
      <c r="N61" s="20">
        <f t="shared" si="7"/>
        <v>2473657.201687621</v>
      </c>
      <c r="O61" s="20">
        <f t="shared" si="8"/>
        <v>20613.810014063507</v>
      </c>
      <c r="P61" s="20">
        <f t="shared" si="13"/>
        <v>2494271.0117016844</v>
      </c>
      <c r="Q61" s="20">
        <f t="shared" si="10"/>
        <v>-60696.656391217322</v>
      </c>
      <c r="R61" s="20">
        <f t="shared" si="14"/>
        <v>-40082.846377153815</v>
      </c>
      <c r="S61" s="20">
        <f t="shared" si="15"/>
        <v>2433574.3553104671</v>
      </c>
    </row>
    <row r="62" spans="13:19" x14ac:dyDescent="0.25">
      <c r="M62" s="19">
        <v>46357</v>
      </c>
      <c r="N62" s="20">
        <f t="shared" si="7"/>
        <v>2433574.3553104671</v>
      </c>
      <c r="O62" s="20">
        <f t="shared" si="8"/>
        <v>20279.786294253892</v>
      </c>
      <c r="P62" s="20">
        <f t="shared" si="13"/>
        <v>2453854.1416047211</v>
      </c>
      <c r="Q62" s="20">
        <f t="shared" si="10"/>
        <v>-60696.656391217322</v>
      </c>
      <c r="R62" s="20">
        <f t="shared" si="14"/>
        <v>-40416.87009696343</v>
      </c>
      <c r="S62" s="20">
        <f t="shared" si="15"/>
        <v>2393157.4852135037</v>
      </c>
    </row>
    <row r="63" spans="13:19" x14ac:dyDescent="0.25">
      <c r="M63" s="19">
        <v>46388</v>
      </c>
      <c r="N63" s="20">
        <f t="shared" si="7"/>
        <v>2393157.4852135037</v>
      </c>
      <c r="O63" s="20">
        <f t="shared" si="8"/>
        <v>19942.979043445863</v>
      </c>
      <c r="P63" s="20">
        <f t="shared" si="13"/>
        <v>2413100.4642569497</v>
      </c>
      <c r="Q63" s="20">
        <f t="shared" si="10"/>
        <v>-60696.656391217322</v>
      </c>
      <c r="R63" s="20">
        <f t="shared" si="14"/>
        <v>-40753.67734777146</v>
      </c>
      <c r="S63" s="20">
        <f t="shared" si="15"/>
        <v>2352403.8078657323</v>
      </c>
    </row>
    <row r="64" spans="13:19" x14ac:dyDescent="0.25">
      <c r="M64" s="19">
        <v>46419</v>
      </c>
      <c r="N64" s="20">
        <f t="shared" si="7"/>
        <v>2352403.8078657323</v>
      </c>
      <c r="O64" s="20">
        <f t="shared" si="8"/>
        <v>19603.365065547769</v>
      </c>
      <c r="P64" s="20">
        <f t="shared" si="13"/>
        <v>2372007.17293128</v>
      </c>
      <c r="Q64" s="20">
        <f t="shared" si="10"/>
        <v>-60696.656391217322</v>
      </c>
      <c r="R64" s="20">
        <f t="shared" si="14"/>
        <v>-41093.291325669554</v>
      </c>
      <c r="S64" s="20">
        <f t="shared" si="15"/>
        <v>2311310.5165400626</v>
      </c>
    </row>
    <row r="65" spans="13:19" x14ac:dyDescent="0.25">
      <c r="M65" s="19">
        <v>46447</v>
      </c>
      <c r="N65" s="20">
        <f t="shared" si="7"/>
        <v>2311310.5165400626</v>
      </c>
      <c r="O65" s="20">
        <f t="shared" si="8"/>
        <v>19260.920971167187</v>
      </c>
      <c r="P65" s="20">
        <f t="shared" si="13"/>
        <v>2330571.4375112299</v>
      </c>
      <c r="Q65" s="20">
        <f t="shared" si="10"/>
        <v>-60696.656391217322</v>
      </c>
      <c r="R65" s="20">
        <f t="shared" si="14"/>
        <v>-41435.735420050136</v>
      </c>
      <c r="S65" s="20">
        <f t="shared" si="15"/>
        <v>2269874.7811200125</v>
      </c>
    </row>
    <row r="66" spans="13:19" x14ac:dyDescent="0.25">
      <c r="M66" s="19">
        <v>46478</v>
      </c>
      <c r="N66" s="20">
        <f t="shared" si="7"/>
        <v>2269874.7811200125</v>
      </c>
      <c r="O66" s="20">
        <f t="shared" si="8"/>
        <v>18915.623176000103</v>
      </c>
      <c r="P66" s="20">
        <f t="shared" si="13"/>
        <v>2288790.4042960126</v>
      </c>
      <c r="Q66" s="20">
        <f t="shared" si="10"/>
        <v>-60696.656391217322</v>
      </c>
      <c r="R66" s="20">
        <f t="shared" si="14"/>
        <v>-41781.03321521722</v>
      </c>
      <c r="S66" s="20">
        <f t="shared" si="15"/>
        <v>2228093.7479047952</v>
      </c>
    </row>
    <row r="67" spans="13:19" x14ac:dyDescent="0.25">
      <c r="M67" s="19">
        <v>46508</v>
      </c>
      <c r="N67" s="20">
        <f t="shared" si="7"/>
        <v>2228093.7479047952</v>
      </c>
      <c r="O67" s="20">
        <f t="shared" si="8"/>
        <v>18567.447899206625</v>
      </c>
      <c r="P67" s="20">
        <f t="shared" si="13"/>
        <v>2246661.1958040018</v>
      </c>
      <c r="Q67" s="20">
        <f t="shared" si="10"/>
        <v>-60696.656391217322</v>
      </c>
      <c r="R67" s="20">
        <f t="shared" si="14"/>
        <v>-42129.208492010701</v>
      </c>
      <c r="S67" s="20">
        <f t="shared" si="15"/>
        <v>2185964.5394127844</v>
      </c>
    </row>
    <row r="68" spans="13:19" x14ac:dyDescent="0.25">
      <c r="M68" s="19">
        <v>46539</v>
      </c>
      <c r="N68" s="20">
        <f t="shared" si="7"/>
        <v>2185964.5394127844</v>
      </c>
      <c r="O68" s="20">
        <f t="shared" si="8"/>
        <v>18216.371161773204</v>
      </c>
      <c r="P68" s="20">
        <f t="shared" si="13"/>
        <v>2204180.9105745577</v>
      </c>
      <c r="Q68" s="20">
        <f t="shared" si="10"/>
        <v>-60696.656391217322</v>
      </c>
      <c r="R68" s="20">
        <f t="shared" si="14"/>
        <v>-42480.285229444118</v>
      </c>
      <c r="S68" s="20">
        <f t="shared" si="15"/>
        <v>2143484.2541833404</v>
      </c>
    </row>
    <row r="69" spans="13:19" x14ac:dyDescent="0.25">
      <c r="M69" s="19">
        <v>46569</v>
      </c>
      <c r="N69" s="20">
        <f t="shared" si="7"/>
        <v>2143484.2541833404</v>
      </c>
      <c r="O69" s="20">
        <f t="shared" si="8"/>
        <v>17862.36878486117</v>
      </c>
      <c r="P69" s="20">
        <f t="shared" si="13"/>
        <v>2161346.6229682015</v>
      </c>
      <c r="Q69" s="20">
        <f t="shared" si="10"/>
        <v>-60696.656391217322</v>
      </c>
      <c r="R69" s="20">
        <f t="shared" si="14"/>
        <v>-42834.287606356156</v>
      </c>
      <c r="S69" s="20">
        <f t="shared" si="15"/>
        <v>2100649.9665769842</v>
      </c>
    </row>
    <row r="70" spans="13:19" x14ac:dyDescent="0.25">
      <c r="M70" s="19">
        <v>46600</v>
      </c>
      <c r="N70" s="20">
        <f t="shared" si="7"/>
        <v>2100649.9665769842</v>
      </c>
      <c r="O70" s="20">
        <f t="shared" si="8"/>
        <v>17505.416388141533</v>
      </c>
      <c r="P70" s="20">
        <f t="shared" si="13"/>
        <v>2118155.3829651256</v>
      </c>
      <c r="Q70" s="20">
        <f t="shared" si="10"/>
        <v>-60696.656391217322</v>
      </c>
      <c r="R70" s="20">
        <f t="shared" si="14"/>
        <v>-43191.240003075785</v>
      </c>
      <c r="S70" s="20">
        <f t="shared" si="15"/>
        <v>2057458.7265739082</v>
      </c>
    </row>
    <row r="71" spans="13:19" x14ac:dyDescent="0.25">
      <c r="M71" s="19">
        <v>46631</v>
      </c>
      <c r="N71" s="20">
        <f t="shared" ref="N71:N87" si="16">S70</f>
        <v>2057458.7265739082</v>
      </c>
      <c r="O71" s="20">
        <f t="shared" si="8"/>
        <v>17145.489388115901</v>
      </c>
      <c r="P71" s="20">
        <f t="shared" ref="P71:P87" si="17">SUM(N71:O71)</f>
        <v>2074604.2159620242</v>
      </c>
      <c r="Q71" s="20">
        <f t="shared" si="10"/>
        <v>-60696.656391217322</v>
      </c>
      <c r="R71" s="20">
        <f t="shared" ref="R71:R87" si="18">Q71+O71</f>
        <v>-43551.167003101422</v>
      </c>
      <c r="S71" s="20">
        <f t="shared" ref="S71:S87" si="19">P71+Q71</f>
        <v>2013907.5595708068</v>
      </c>
    </row>
    <row r="72" spans="13:19" x14ac:dyDescent="0.25">
      <c r="M72" s="19">
        <v>46661</v>
      </c>
      <c r="N72" s="20">
        <f t="shared" si="16"/>
        <v>2013907.5595708068</v>
      </c>
      <c r="O72" s="20">
        <f t="shared" si="8"/>
        <v>16782.562996423389</v>
      </c>
      <c r="P72" s="20">
        <f t="shared" si="17"/>
        <v>2030690.1225672301</v>
      </c>
      <c r="Q72" s="20">
        <f t="shared" si="10"/>
        <v>-60696.656391217322</v>
      </c>
      <c r="R72" s="20">
        <f t="shared" si="18"/>
        <v>-43914.093394793934</v>
      </c>
      <c r="S72" s="20">
        <f t="shared" si="19"/>
        <v>1969993.4661760128</v>
      </c>
    </row>
    <row r="73" spans="13:19" x14ac:dyDescent="0.25">
      <c r="M73" s="19">
        <v>46692</v>
      </c>
      <c r="N73" s="20">
        <f t="shared" si="16"/>
        <v>1969993.4661760128</v>
      </c>
      <c r="O73" s="20">
        <f t="shared" si="8"/>
        <v>16416.612218133439</v>
      </c>
      <c r="P73" s="20">
        <f t="shared" si="17"/>
        <v>1986410.0783941462</v>
      </c>
      <c r="Q73" s="20">
        <f t="shared" si="10"/>
        <v>-60696.656391217322</v>
      </c>
      <c r="R73" s="20">
        <f t="shared" si="18"/>
        <v>-44280.044173083879</v>
      </c>
      <c r="S73" s="20">
        <f t="shared" si="19"/>
        <v>1925713.4220029288</v>
      </c>
    </row>
    <row r="74" spans="13:19" x14ac:dyDescent="0.25">
      <c r="M74" s="19">
        <v>46722</v>
      </c>
      <c r="N74" s="20">
        <f t="shared" si="16"/>
        <v>1925713.4220029288</v>
      </c>
      <c r="O74" s="20">
        <f t="shared" si="8"/>
        <v>16047.611850024407</v>
      </c>
      <c r="P74" s="20">
        <f t="shared" si="17"/>
        <v>1941761.0338529532</v>
      </c>
      <c r="Q74" s="20">
        <f t="shared" si="10"/>
        <v>-60696.656391217322</v>
      </c>
      <c r="R74" s="20">
        <f t="shared" si="18"/>
        <v>-44649.044541192918</v>
      </c>
      <c r="S74" s="20">
        <f t="shared" si="19"/>
        <v>1881064.3774617359</v>
      </c>
    </row>
    <row r="75" spans="13:19" x14ac:dyDescent="0.25">
      <c r="M75" s="19">
        <v>46753</v>
      </c>
      <c r="N75" s="20">
        <f t="shared" si="16"/>
        <v>1881064.3774617359</v>
      </c>
      <c r="O75" s="20">
        <f t="shared" si="8"/>
        <v>15675.536478847798</v>
      </c>
      <c r="P75" s="20">
        <f t="shared" si="17"/>
        <v>1896739.9139405836</v>
      </c>
      <c r="Q75" s="20">
        <f t="shared" si="10"/>
        <v>-60696.656391217322</v>
      </c>
      <c r="R75" s="20">
        <f t="shared" si="18"/>
        <v>-45021.119912369526</v>
      </c>
      <c r="S75" s="20">
        <f t="shared" si="19"/>
        <v>1836043.2575493662</v>
      </c>
    </row>
    <row r="76" spans="13:19" x14ac:dyDescent="0.25">
      <c r="M76" s="19">
        <v>46784</v>
      </c>
      <c r="N76" s="20">
        <f t="shared" si="16"/>
        <v>1836043.2575493662</v>
      </c>
      <c r="O76" s="20">
        <f t="shared" si="8"/>
        <v>15300.360479578052</v>
      </c>
      <c r="P76" s="20">
        <f t="shared" si="17"/>
        <v>1851343.6180289444</v>
      </c>
      <c r="Q76" s="20">
        <f t="shared" si="10"/>
        <v>-60696.656391217322</v>
      </c>
      <c r="R76" s="20">
        <f t="shared" si="18"/>
        <v>-45396.295911639274</v>
      </c>
      <c r="S76" s="20">
        <f t="shared" si="19"/>
        <v>1790646.961637727</v>
      </c>
    </row>
    <row r="77" spans="13:19" x14ac:dyDescent="0.25">
      <c r="M77" s="19">
        <v>46813</v>
      </c>
      <c r="N77" s="20">
        <f t="shared" si="16"/>
        <v>1790646.961637727</v>
      </c>
      <c r="O77" s="20">
        <f t="shared" si="8"/>
        <v>14922.058013647724</v>
      </c>
      <c r="P77" s="20">
        <f t="shared" si="17"/>
        <v>1805569.0196513748</v>
      </c>
      <c r="Q77" s="20">
        <f t="shared" si="10"/>
        <v>-60696.656391217322</v>
      </c>
      <c r="R77" s="20">
        <f t="shared" si="18"/>
        <v>-45774.5983775696</v>
      </c>
      <c r="S77" s="20">
        <f t="shared" si="19"/>
        <v>1744872.3632601574</v>
      </c>
    </row>
    <row r="78" spans="13:19" x14ac:dyDescent="0.25">
      <c r="M78" s="19">
        <v>46844</v>
      </c>
      <c r="N78" s="20">
        <f t="shared" si="16"/>
        <v>1744872.3632601574</v>
      </c>
      <c r="O78" s="20">
        <f t="shared" si="8"/>
        <v>14540.603027167977</v>
      </c>
      <c r="P78" s="20">
        <f t="shared" si="17"/>
        <v>1759412.9662873254</v>
      </c>
      <c r="Q78" s="20">
        <f t="shared" si="10"/>
        <v>-60696.656391217322</v>
      </c>
      <c r="R78" s="20">
        <f t="shared" si="18"/>
        <v>-46156.053364049345</v>
      </c>
      <c r="S78" s="20">
        <f t="shared" si="19"/>
        <v>1698716.309896108</v>
      </c>
    </row>
    <row r="79" spans="13:19" x14ac:dyDescent="0.25">
      <c r="M79" s="19">
        <v>46874</v>
      </c>
      <c r="N79" s="20">
        <f t="shared" si="16"/>
        <v>1698716.309896108</v>
      </c>
      <c r="O79" s="20">
        <f t="shared" si="8"/>
        <v>14155.969249134234</v>
      </c>
      <c r="P79" s="20">
        <f t="shared" si="17"/>
        <v>1712872.2791452422</v>
      </c>
      <c r="Q79" s="20">
        <f t="shared" si="10"/>
        <v>-60696.656391217322</v>
      </c>
      <c r="R79" s="20">
        <f t="shared" si="18"/>
        <v>-46540.687142083087</v>
      </c>
      <c r="S79" s="20">
        <f t="shared" si="19"/>
        <v>1652175.6227540248</v>
      </c>
    </row>
    <row r="80" spans="13:19" x14ac:dyDescent="0.25">
      <c r="M80" s="19">
        <v>46905</v>
      </c>
      <c r="N80" s="20">
        <f t="shared" si="16"/>
        <v>1652175.6227540248</v>
      </c>
      <c r="O80" s="20">
        <f t="shared" ref="O80:O110" si="20">N80*$N$9</f>
        <v>13768.130189616873</v>
      </c>
      <c r="P80" s="20">
        <f t="shared" si="17"/>
        <v>1665943.7529436417</v>
      </c>
      <c r="Q80" s="20">
        <f t="shared" ref="Q80:Q110" si="21">$S$5</f>
        <v>-60696.656391217322</v>
      </c>
      <c r="R80" s="20">
        <f t="shared" si="18"/>
        <v>-46928.526201600449</v>
      </c>
      <c r="S80" s="20">
        <f t="shared" si="19"/>
        <v>1605247.0965524244</v>
      </c>
    </row>
    <row r="81" spans="13:19" x14ac:dyDescent="0.25">
      <c r="M81" s="19">
        <v>46935</v>
      </c>
      <c r="N81" s="20">
        <f t="shared" si="16"/>
        <v>1605247.0965524244</v>
      </c>
      <c r="O81" s="20">
        <f t="shared" si="20"/>
        <v>13377.059137936869</v>
      </c>
      <c r="P81" s="20">
        <f t="shared" si="17"/>
        <v>1618624.1556903613</v>
      </c>
      <c r="Q81" s="20">
        <f t="shared" si="21"/>
        <v>-60696.656391217322</v>
      </c>
      <c r="R81" s="20">
        <f t="shared" si="18"/>
        <v>-47319.597253280452</v>
      </c>
      <c r="S81" s="20">
        <f t="shared" si="19"/>
        <v>1557927.4992991439</v>
      </c>
    </row>
    <row r="82" spans="13:19" x14ac:dyDescent="0.25">
      <c r="M82" s="19">
        <v>46966</v>
      </c>
      <c r="N82" s="20">
        <f t="shared" si="16"/>
        <v>1557927.4992991439</v>
      </c>
      <c r="O82" s="20">
        <f t="shared" si="20"/>
        <v>12982.729160826198</v>
      </c>
      <c r="P82" s="20">
        <f t="shared" si="17"/>
        <v>1570910.2284599701</v>
      </c>
      <c r="Q82" s="20">
        <f t="shared" si="21"/>
        <v>-60696.656391217322</v>
      </c>
      <c r="R82" s="20">
        <f t="shared" si="18"/>
        <v>-47713.927230391128</v>
      </c>
      <c r="S82" s="20">
        <f t="shared" si="19"/>
        <v>1510213.5720687527</v>
      </c>
    </row>
    <row r="83" spans="13:19" x14ac:dyDescent="0.25">
      <c r="M83" s="19">
        <v>46997</v>
      </c>
      <c r="N83" s="20">
        <f t="shared" si="16"/>
        <v>1510213.5720687527</v>
      </c>
      <c r="O83" s="20">
        <f t="shared" si="20"/>
        <v>12585.113100572938</v>
      </c>
      <c r="P83" s="20">
        <f t="shared" si="17"/>
        <v>1522798.6851693257</v>
      </c>
      <c r="Q83" s="20">
        <f t="shared" si="21"/>
        <v>-60696.656391217322</v>
      </c>
      <c r="R83" s="20">
        <f t="shared" si="18"/>
        <v>-48111.543290644382</v>
      </c>
      <c r="S83" s="20">
        <f t="shared" si="19"/>
        <v>1462102.0287781083</v>
      </c>
    </row>
    <row r="84" spans="13:19" x14ac:dyDescent="0.25">
      <c r="M84" s="19">
        <v>47027</v>
      </c>
      <c r="N84" s="20">
        <f t="shared" si="16"/>
        <v>1462102.0287781083</v>
      </c>
      <c r="O84" s="20">
        <f t="shared" si="20"/>
        <v>12184.183573150902</v>
      </c>
      <c r="P84" s="20">
        <f t="shared" si="17"/>
        <v>1474286.2123512593</v>
      </c>
      <c r="Q84" s="20">
        <f t="shared" si="21"/>
        <v>-60696.656391217322</v>
      </c>
      <c r="R84" s="20">
        <f t="shared" si="18"/>
        <v>-48512.472818066424</v>
      </c>
      <c r="S84" s="20">
        <f t="shared" si="19"/>
        <v>1413589.5559600419</v>
      </c>
    </row>
    <row r="85" spans="13:19" x14ac:dyDescent="0.25">
      <c r="M85" s="19">
        <v>47058</v>
      </c>
      <c r="N85" s="20">
        <f t="shared" si="16"/>
        <v>1413589.5559600419</v>
      </c>
      <c r="O85" s="20">
        <f t="shared" si="20"/>
        <v>11779.912966333683</v>
      </c>
      <c r="P85" s="20">
        <f t="shared" si="17"/>
        <v>1425369.4689263757</v>
      </c>
      <c r="Q85" s="20">
        <f t="shared" si="21"/>
        <v>-60696.656391217322</v>
      </c>
      <c r="R85" s="20">
        <f t="shared" si="18"/>
        <v>-48916.743424883636</v>
      </c>
      <c r="S85" s="20">
        <f t="shared" si="19"/>
        <v>1364672.8125351584</v>
      </c>
    </row>
    <row r="86" spans="13:19" x14ac:dyDescent="0.25">
      <c r="M86" s="19">
        <v>47088</v>
      </c>
      <c r="N86" s="20">
        <f t="shared" si="16"/>
        <v>1364672.8125351584</v>
      </c>
      <c r="O86" s="20">
        <f t="shared" si="20"/>
        <v>11372.273437792986</v>
      </c>
      <c r="P86" s="20">
        <f t="shared" si="17"/>
        <v>1376045.0859729513</v>
      </c>
      <c r="Q86" s="20">
        <f t="shared" si="21"/>
        <v>-60696.656391217322</v>
      </c>
      <c r="R86" s="20">
        <f t="shared" si="18"/>
        <v>-49324.382953424334</v>
      </c>
      <c r="S86" s="20">
        <f t="shared" si="19"/>
        <v>1315348.4295817339</v>
      </c>
    </row>
    <row r="87" spans="13:19" x14ac:dyDescent="0.25">
      <c r="M87" s="19">
        <v>47119</v>
      </c>
      <c r="N87" s="20">
        <f t="shared" si="16"/>
        <v>1315348.4295817339</v>
      </c>
      <c r="O87" s="20">
        <f t="shared" si="20"/>
        <v>10961.236913181116</v>
      </c>
      <c r="P87" s="20">
        <f t="shared" si="17"/>
        <v>1326309.666494915</v>
      </c>
      <c r="Q87" s="20">
        <f t="shared" si="21"/>
        <v>-60696.656391217322</v>
      </c>
      <c r="R87" s="20">
        <f t="shared" si="18"/>
        <v>-49735.419478036209</v>
      </c>
      <c r="S87" s="20">
        <f t="shared" si="19"/>
        <v>1265613.0101036977</v>
      </c>
    </row>
    <row r="88" spans="13:19" x14ac:dyDescent="0.25">
      <c r="M88" s="19">
        <v>47150</v>
      </c>
      <c r="N88" s="20">
        <f t="shared" ref="N88:N110" si="22">S87</f>
        <v>1265613.0101036977</v>
      </c>
      <c r="O88" s="20">
        <f t="shared" si="20"/>
        <v>10546.775084197481</v>
      </c>
      <c r="P88" s="20">
        <f t="shared" ref="P88:P110" si="23">SUM(N88:O88)</f>
        <v>1276159.7851878952</v>
      </c>
      <c r="Q88" s="20">
        <f t="shared" si="21"/>
        <v>-60696.656391217322</v>
      </c>
      <c r="R88" s="20">
        <f t="shared" ref="R88:R110" si="24">Q88+O88</f>
        <v>-50149.881307019838</v>
      </c>
      <c r="S88" s="20">
        <f t="shared" ref="S88:S110" si="25">P88+Q88</f>
        <v>1215463.1287966778</v>
      </c>
    </row>
    <row r="89" spans="13:19" x14ac:dyDescent="0.25">
      <c r="M89" s="19">
        <v>47178</v>
      </c>
      <c r="N89" s="20">
        <f t="shared" si="22"/>
        <v>1215463.1287966778</v>
      </c>
      <c r="O89" s="20">
        <f t="shared" si="20"/>
        <v>10128.859406638981</v>
      </c>
      <c r="P89" s="20">
        <f t="shared" si="23"/>
        <v>1225591.9882033167</v>
      </c>
      <c r="Q89" s="20">
        <f t="shared" si="21"/>
        <v>-60696.656391217322</v>
      </c>
      <c r="R89" s="20">
        <f t="shared" si="24"/>
        <v>-50567.796984578337</v>
      </c>
      <c r="S89" s="20">
        <f t="shared" si="25"/>
        <v>1164895.3318120993</v>
      </c>
    </row>
    <row r="90" spans="13:19" x14ac:dyDescent="0.25">
      <c r="M90" s="19">
        <v>47209</v>
      </c>
      <c r="N90" s="20">
        <f t="shared" si="22"/>
        <v>1164895.3318120993</v>
      </c>
      <c r="O90" s="20">
        <f t="shared" si="20"/>
        <v>9707.4610984341616</v>
      </c>
      <c r="P90" s="20">
        <f t="shared" si="23"/>
        <v>1174602.7929105335</v>
      </c>
      <c r="Q90" s="20">
        <f t="shared" si="21"/>
        <v>-60696.656391217322</v>
      </c>
      <c r="R90" s="20">
        <f t="shared" si="24"/>
        <v>-50989.195292783159</v>
      </c>
      <c r="S90" s="20">
        <f t="shared" si="25"/>
        <v>1113906.1365193161</v>
      </c>
    </row>
    <row r="91" spans="13:19" x14ac:dyDescent="0.25">
      <c r="M91" s="19">
        <v>47239</v>
      </c>
      <c r="N91" s="20">
        <f t="shared" si="22"/>
        <v>1113906.1365193161</v>
      </c>
      <c r="O91" s="20">
        <f t="shared" si="20"/>
        <v>9282.5511376609684</v>
      </c>
      <c r="P91" s="20">
        <f t="shared" si="23"/>
        <v>1123188.687656977</v>
      </c>
      <c r="Q91" s="20">
        <f t="shared" si="21"/>
        <v>-60696.656391217322</v>
      </c>
      <c r="R91" s="20">
        <f t="shared" si="24"/>
        <v>-51414.10525355635</v>
      </c>
      <c r="S91" s="20">
        <f t="shared" si="25"/>
        <v>1062492.0312657596</v>
      </c>
    </row>
    <row r="92" spans="13:19" x14ac:dyDescent="0.25">
      <c r="M92" s="19">
        <v>47270</v>
      </c>
      <c r="N92" s="20">
        <f t="shared" si="22"/>
        <v>1062492.0312657596</v>
      </c>
      <c r="O92" s="20">
        <f t="shared" si="20"/>
        <v>8854.1002605479971</v>
      </c>
      <c r="P92" s="20">
        <f t="shared" si="23"/>
        <v>1071346.1315263077</v>
      </c>
      <c r="Q92" s="20">
        <f t="shared" si="21"/>
        <v>-60696.656391217322</v>
      </c>
      <c r="R92" s="20">
        <f t="shared" si="24"/>
        <v>-51842.556130669327</v>
      </c>
      <c r="S92" s="20">
        <f t="shared" si="25"/>
        <v>1010649.4751350903</v>
      </c>
    </row>
    <row r="93" spans="13:19" x14ac:dyDescent="0.25">
      <c r="M93" s="19">
        <v>47300</v>
      </c>
      <c r="N93" s="20">
        <f t="shared" si="22"/>
        <v>1010649.4751350903</v>
      </c>
      <c r="O93" s="20">
        <f t="shared" si="20"/>
        <v>8422.078959459086</v>
      </c>
      <c r="P93" s="20">
        <f t="shared" si="23"/>
        <v>1019071.5540945494</v>
      </c>
      <c r="Q93" s="20">
        <f t="shared" si="21"/>
        <v>-60696.656391217322</v>
      </c>
      <c r="R93" s="20">
        <f t="shared" si="24"/>
        <v>-52274.57743175824</v>
      </c>
      <c r="S93" s="20">
        <f t="shared" si="25"/>
        <v>958374.89770333201</v>
      </c>
    </row>
    <row r="94" spans="13:19" x14ac:dyDescent="0.25">
      <c r="M94" s="19">
        <v>47331</v>
      </c>
      <c r="N94" s="20">
        <f t="shared" si="22"/>
        <v>958374.89770333201</v>
      </c>
      <c r="O94" s="20">
        <f t="shared" si="20"/>
        <v>7986.4574808610996</v>
      </c>
      <c r="P94" s="20">
        <f t="shared" si="23"/>
        <v>966361.35518419312</v>
      </c>
      <c r="Q94" s="20">
        <f t="shared" si="21"/>
        <v>-60696.656391217322</v>
      </c>
      <c r="R94" s="20">
        <f t="shared" si="24"/>
        <v>-52710.198910356223</v>
      </c>
      <c r="S94" s="20">
        <f t="shared" si="25"/>
        <v>905664.69879297575</v>
      </c>
    </row>
    <row r="95" spans="13:19" x14ac:dyDescent="0.25">
      <c r="M95" s="19">
        <v>47362</v>
      </c>
      <c r="N95" s="20">
        <f t="shared" si="22"/>
        <v>905664.69879297575</v>
      </c>
      <c r="O95" s="20">
        <f t="shared" si="20"/>
        <v>7547.2058232747977</v>
      </c>
      <c r="P95" s="20">
        <f t="shared" si="23"/>
        <v>913211.90461625054</v>
      </c>
      <c r="Q95" s="20">
        <f t="shared" si="21"/>
        <v>-60696.656391217322</v>
      </c>
      <c r="R95" s="20">
        <f t="shared" si="24"/>
        <v>-53149.450567942527</v>
      </c>
      <c r="S95" s="20">
        <f t="shared" si="25"/>
        <v>852515.24822503317</v>
      </c>
    </row>
    <row r="96" spans="13:19" x14ac:dyDescent="0.25">
      <c r="M96" s="19">
        <v>47392</v>
      </c>
      <c r="N96" s="20">
        <f t="shared" si="22"/>
        <v>852515.24822503317</v>
      </c>
      <c r="O96" s="20">
        <f t="shared" si="20"/>
        <v>7104.2937352086092</v>
      </c>
      <c r="P96" s="20">
        <f t="shared" si="23"/>
        <v>859619.54196024174</v>
      </c>
      <c r="Q96" s="20">
        <f t="shared" si="21"/>
        <v>-60696.656391217322</v>
      </c>
      <c r="R96" s="20">
        <f t="shared" si="24"/>
        <v>-53592.362656008714</v>
      </c>
      <c r="S96" s="20">
        <f t="shared" si="25"/>
        <v>798922.88556902437</v>
      </c>
    </row>
    <row r="97" spans="13:19" x14ac:dyDescent="0.25">
      <c r="M97" s="19">
        <v>47423</v>
      </c>
      <c r="N97" s="20">
        <f t="shared" si="22"/>
        <v>798922.88556902437</v>
      </c>
      <c r="O97" s="20">
        <f t="shared" si="20"/>
        <v>6657.6907130752033</v>
      </c>
      <c r="P97" s="20">
        <f t="shared" si="23"/>
        <v>805580.57628209959</v>
      </c>
      <c r="Q97" s="20">
        <f t="shared" si="21"/>
        <v>-60696.656391217322</v>
      </c>
      <c r="R97" s="20">
        <f t="shared" si="24"/>
        <v>-54038.965678142122</v>
      </c>
      <c r="S97" s="20">
        <f t="shared" si="25"/>
        <v>744883.91989088221</v>
      </c>
    </row>
    <row r="98" spans="13:19" x14ac:dyDescent="0.25">
      <c r="M98" s="19">
        <v>47453</v>
      </c>
      <c r="N98" s="20">
        <f t="shared" si="22"/>
        <v>744883.91989088221</v>
      </c>
      <c r="O98" s="20">
        <f t="shared" si="20"/>
        <v>6207.3659990906854</v>
      </c>
      <c r="P98" s="20">
        <f t="shared" si="23"/>
        <v>751091.28588997293</v>
      </c>
      <c r="Q98" s="20">
        <f t="shared" si="21"/>
        <v>-60696.656391217322</v>
      </c>
      <c r="R98" s="20">
        <f t="shared" si="24"/>
        <v>-54489.290392126641</v>
      </c>
      <c r="S98" s="20">
        <f t="shared" si="25"/>
        <v>690394.62949875556</v>
      </c>
    </row>
    <row r="99" spans="13:19" x14ac:dyDescent="0.25">
      <c r="M99" s="19">
        <v>47484</v>
      </c>
      <c r="N99" s="20">
        <f t="shared" si="22"/>
        <v>690394.62949875556</v>
      </c>
      <c r="O99" s="20">
        <f t="shared" si="20"/>
        <v>5753.2885791562967</v>
      </c>
      <c r="P99" s="20">
        <f t="shared" si="23"/>
        <v>696147.91807791183</v>
      </c>
      <c r="Q99" s="20">
        <f t="shared" si="21"/>
        <v>-60696.656391217322</v>
      </c>
      <c r="R99" s="20">
        <f t="shared" si="24"/>
        <v>-54943.367812061028</v>
      </c>
      <c r="S99" s="20">
        <f t="shared" si="25"/>
        <v>635451.26168669446</v>
      </c>
    </row>
    <row r="100" spans="13:19" x14ac:dyDescent="0.25">
      <c r="M100" s="19">
        <v>47515</v>
      </c>
      <c r="N100" s="20">
        <f t="shared" si="22"/>
        <v>635451.26168669446</v>
      </c>
      <c r="O100" s="20">
        <f t="shared" si="20"/>
        <v>5295.4271807224541</v>
      </c>
      <c r="P100" s="20">
        <f t="shared" si="23"/>
        <v>640746.68886741693</v>
      </c>
      <c r="Q100" s="20">
        <f t="shared" si="21"/>
        <v>-60696.656391217322</v>
      </c>
      <c r="R100" s="20">
        <f t="shared" si="24"/>
        <v>-55401.229210494872</v>
      </c>
      <c r="S100" s="20">
        <f t="shared" si="25"/>
        <v>580050.03247619956</v>
      </c>
    </row>
    <row r="101" spans="13:19" x14ac:dyDescent="0.25">
      <c r="M101" s="19">
        <v>47543</v>
      </c>
      <c r="N101" s="20">
        <f t="shared" si="22"/>
        <v>580050.03247619956</v>
      </c>
      <c r="O101" s="20">
        <f t="shared" si="20"/>
        <v>4833.750270634996</v>
      </c>
      <c r="P101" s="20">
        <f t="shared" si="23"/>
        <v>584883.78274683456</v>
      </c>
      <c r="Q101" s="20">
        <f t="shared" si="21"/>
        <v>-60696.656391217322</v>
      </c>
      <c r="R101" s="20">
        <f t="shared" si="24"/>
        <v>-55862.906120582324</v>
      </c>
      <c r="S101" s="20">
        <f t="shared" si="25"/>
        <v>524187.12635561725</v>
      </c>
    </row>
    <row r="102" spans="13:19" x14ac:dyDescent="0.25">
      <c r="M102" s="19">
        <v>47574</v>
      </c>
      <c r="N102" s="20">
        <f t="shared" si="22"/>
        <v>524187.12635561725</v>
      </c>
      <c r="O102" s="20">
        <f t="shared" si="20"/>
        <v>4368.2260529634768</v>
      </c>
      <c r="P102" s="20">
        <f t="shared" si="23"/>
        <v>528555.35240858071</v>
      </c>
      <c r="Q102" s="20">
        <f t="shared" si="21"/>
        <v>-60696.656391217322</v>
      </c>
      <c r="R102" s="20">
        <f t="shared" si="24"/>
        <v>-56328.430338253849</v>
      </c>
      <c r="S102" s="20">
        <f t="shared" si="25"/>
        <v>467858.6960173634</v>
      </c>
    </row>
    <row r="103" spans="13:19" x14ac:dyDescent="0.25">
      <c r="M103" s="19">
        <v>47604</v>
      </c>
      <c r="N103" s="20">
        <f t="shared" si="22"/>
        <v>467858.6960173634</v>
      </c>
      <c r="O103" s="20">
        <f t="shared" si="20"/>
        <v>3898.8224668113617</v>
      </c>
      <c r="P103" s="20">
        <f t="shared" si="23"/>
        <v>471757.51848417474</v>
      </c>
      <c r="Q103" s="20">
        <f t="shared" si="21"/>
        <v>-60696.656391217322</v>
      </c>
      <c r="R103" s="20">
        <f t="shared" si="24"/>
        <v>-56797.833924405961</v>
      </c>
      <c r="S103" s="20">
        <f t="shared" si="25"/>
        <v>411060.86209295742</v>
      </c>
    </row>
    <row r="104" spans="13:19" x14ac:dyDescent="0.25">
      <c r="M104" s="19">
        <v>47635</v>
      </c>
      <c r="N104" s="20">
        <f t="shared" si="22"/>
        <v>411060.86209295742</v>
      </c>
      <c r="O104" s="20">
        <f t="shared" si="20"/>
        <v>3425.5071841079784</v>
      </c>
      <c r="P104" s="20">
        <f t="shared" si="23"/>
        <v>414486.36927706539</v>
      </c>
      <c r="Q104" s="20">
        <f t="shared" si="21"/>
        <v>-60696.656391217322</v>
      </c>
      <c r="R104" s="20">
        <f t="shared" si="24"/>
        <v>-57271.149207109345</v>
      </c>
      <c r="S104" s="20">
        <f t="shared" si="25"/>
        <v>353789.71288584807</v>
      </c>
    </row>
    <row r="105" spans="13:19" x14ac:dyDescent="0.25">
      <c r="M105" s="19">
        <v>47665</v>
      </c>
      <c r="N105" s="20">
        <f t="shared" si="22"/>
        <v>353789.71288584807</v>
      </c>
      <c r="O105" s="20">
        <f t="shared" si="20"/>
        <v>2948.2476073820671</v>
      </c>
      <c r="P105" s="20">
        <f t="shared" si="23"/>
        <v>356737.96049323014</v>
      </c>
      <c r="Q105" s="20">
        <f t="shared" si="21"/>
        <v>-60696.656391217322</v>
      </c>
      <c r="R105" s="20">
        <f t="shared" si="24"/>
        <v>-57748.408783835257</v>
      </c>
      <c r="S105" s="20">
        <f t="shared" si="25"/>
        <v>296041.30410201283</v>
      </c>
    </row>
    <row r="106" spans="13:19" x14ac:dyDescent="0.25">
      <c r="M106" s="19">
        <v>47696</v>
      </c>
      <c r="N106" s="20">
        <f t="shared" si="22"/>
        <v>296041.30410201283</v>
      </c>
      <c r="O106" s="20">
        <f t="shared" si="20"/>
        <v>2467.0108675167735</v>
      </c>
      <c r="P106" s="20">
        <f t="shared" si="23"/>
        <v>298508.31496952963</v>
      </c>
      <c r="Q106" s="20">
        <f t="shared" si="21"/>
        <v>-60696.656391217322</v>
      </c>
      <c r="R106" s="20">
        <f t="shared" si="24"/>
        <v>-58229.64552370055</v>
      </c>
      <c r="S106" s="20">
        <f t="shared" si="25"/>
        <v>237811.65857831232</v>
      </c>
    </row>
    <row r="107" spans="13:19" x14ac:dyDescent="0.25">
      <c r="M107" s="19">
        <v>47727</v>
      </c>
      <c r="N107" s="20">
        <f t="shared" si="22"/>
        <v>237811.65857831232</v>
      </c>
      <c r="O107" s="20">
        <f t="shared" si="20"/>
        <v>1981.763821485936</v>
      </c>
      <c r="P107" s="20">
        <f t="shared" si="23"/>
        <v>239793.42239979826</v>
      </c>
      <c r="Q107" s="20">
        <f t="shared" si="21"/>
        <v>-60696.656391217322</v>
      </c>
      <c r="R107" s="20">
        <f t="shared" si="24"/>
        <v>-58714.89256973139</v>
      </c>
      <c r="S107" s="20">
        <f t="shared" si="25"/>
        <v>179096.76600858095</v>
      </c>
    </row>
    <row r="108" spans="13:19" x14ac:dyDescent="0.25">
      <c r="M108" s="19">
        <v>47757</v>
      </c>
      <c r="N108" s="20">
        <f t="shared" si="22"/>
        <v>179096.76600858095</v>
      </c>
      <c r="O108" s="20">
        <f t="shared" si="20"/>
        <v>1492.4730500715079</v>
      </c>
      <c r="P108" s="20">
        <f t="shared" si="23"/>
        <v>180589.23905865246</v>
      </c>
      <c r="Q108" s="20">
        <f t="shared" si="21"/>
        <v>-60696.656391217322</v>
      </c>
      <c r="R108" s="20">
        <f t="shared" si="24"/>
        <v>-59204.183341145814</v>
      </c>
      <c r="S108" s="20">
        <f t="shared" si="25"/>
        <v>119892.58266743514</v>
      </c>
    </row>
    <row r="109" spans="13:19" x14ac:dyDescent="0.25">
      <c r="M109" s="19">
        <v>47788</v>
      </c>
      <c r="N109" s="20">
        <f t="shared" si="22"/>
        <v>119892.58266743514</v>
      </c>
      <c r="O109" s="20">
        <f t="shared" si="20"/>
        <v>999.10485556195954</v>
      </c>
      <c r="P109" s="20">
        <f t="shared" si="23"/>
        <v>120891.6875229971</v>
      </c>
      <c r="Q109" s="20">
        <f t="shared" si="21"/>
        <v>-60696.656391217322</v>
      </c>
      <c r="R109" s="20">
        <f t="shared" si="24"/>
        <v>-59697.551535655366</v>
      </c>
      <c r="S109" s="20">
        <f t="shared" si="25"/>
        <v>60195.031131779782</v>
      </c>
    </row>
    <row r="110" spans="13:19" x14ac:dyDescent="0.25">
      <c r="M110" s="19">
        <v>47818</v>
      </c>
      <c r="N110" s="20">
        <f t="shared" si="22"/>
        <v>60195.031131779782</v>
      </c>
      <c r="O110" s="20">
        <f t="shared" si="20"/>
        <v>501.62525943149819</v>
      </c>
      <c r="P110" s="20">
        <f t="shared" si="23"/>
        <v>60696.656391211283</v>
      </c>
      <c r="Q110" s="20">
        <f t="shared" si="21"/>
        <v>-60696.656391217322</v>
      </c>
      <c r="R110" s="20">
        <f t="shared" si="24"/>
        <v>-60195.031131785821</v>
      </c>
      <c r="S110" s="20">
        <f t="shared" si="25"/>
        <v>-6.0390448197722435E-9</v>
      </c>
    </row>
  </sheetData>
  <mergeCells count="3">
    <mergeCell ref="A2:H3"/>
    <mergeCell ref="Q8:S8"/>
    <mergeCell ref="L2:S3"/>
  </mergeCells>
  <dataValidations count="1">
    <dataValidation type="list" allowBlank="1" showInputMessage="1" showErrorMessage="1" sqref="Q8:S8" xr:uid="{E157D7F7-9D13-48C0-86CA-28F0FDBE05C3}">
      <formula1>$M$15:$M$110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Sheet1</vt:lpstr>
      <vt:lpstr>REVENUE COST </vt:lpstr>
      <vt:lpstr>profit loss statement SOURCE</vt:lpstr>
      <vt:lpstr>PROFIT LOSS STATEMENT</vt:lpstr>
      <vt:lpstr>balance sheet source</vt:lpstr>
      <vt:lpstr>BALANCE SHEET assumptions </vt:lpstr>
      <vt:lpstr>SOFP</vt:lpstr>
      <vt:lpstr>cash flows</vt:lpstr>
      <vt:lpstr>profit and loss assumptions</vt:lpstr>
      <vt:lpstr>discounted cashfows</vt:lpstr>
      <vt:lpstr>DCF RESULTS</vt:lpstr>
      <vt:lpstr>CHARTS</vt:lpstr>
      <vt:lpstr>breakeven analysis</vt:lpstr>
      <vt:lpstr>Sheet2</vt:lpstr>
      <vt:lpstr>debt calculator</vt:lpstr>
      <vt:lpstr>'BALANCE SHEET assumptions '!Print_Area</vt:lpstr>
      <vt:lpstr>'balance sheet source'!Print_Area</vt:lpstr>
      <vt:lpstr>'cash flows'!Print_Area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2024-04-18T19:43:35Z</dcterms:modified>
</cp:coreProperties>
</file>