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gus\Documents\seguimientoUTN\3er Año\Sistemas Operativos\Ejercicios\Práctica 2do parcial\"/>
    </mc:Choice>
  </mc:AlternateContent>
  <xr:revisionPtr revIDLastSave="0" documentId="13_ncr:1_{33A7AD09-8A69-475A-A748-8E28939CDD96}" xr6:coauthVersionLast="47" xr6:coauthVersionMax="47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Recuperatorio 2017" sheetId="1" r:id="rId1"/>
    <sheet name="2017 - TM" sheetId="2" r:id="rId2"/>
    <sheet name="2017 - TM #2" sheetId="4" r:id="rId3"/>
    <sheet name="2017 - TT" sheetId="3" r:id="rId4"/>
    <sheet name="2017 - TT #2" sheetId="5" r:id="rId5"/>
    <sheet name="Recuperatorio 2018" sheetId="6" r:id="rId6"/>
    <sheet name="2018 - TM" sheetId="7" r:id="rId7"/>
    <sheet name="2018 - TM #2" sheetId="9" r:id="rId8"/>
    <sheet name="2018 - TT" sheetId="8" r:id="rId9"/>
    <sheet name="2018 - TT #2" sheetId="10" r:id="rId10"/>
    <sheet name="Recuperatorio 2019" sheetId="11" r:id="rId11"/>
    <sheet name="2019 - TM" sheetId="12" r:id="rId12"/>
    <sheet name="2019 - TT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3" l="1"/>
  <c r="V2" i="13"/>
  <c r="V3" i="13"/>
  <c r="V1" i="13"/>
  <c r="D20" i="13"/>
  <c r="G20" i="13" s="1"/>
  <c r="B16" i="13"/>
  <c r="V9" i="12"/>
  <c r="V8" i="12"/>
  <c r="T5" i="12"/>
  <c r="X3" i="12"/>
  <c r="U3" i="12"/>
  <c r="N30" i="12"/>
  <c r="D32" i="12"/>
  <c r="C21" i="12"/>
  <c r="C20" i="12"/>
  <c r="E17" i="12"/>
  <c r="E14" i="12"/>
  <c r="A15" i="12" s="1"/>
  <c r="E24" i="12" s="1"/>
  <c r="E25" i="12" s="1"/>
  <c r="F9" i="11" l="1"/>
  <c r="C30" i="11" s="1"/>
  <c r="D7" i="11"/>
  <c r="G6" i="11"/>
  <c r="E27" i="11" s="1"/>
  <c r="H27" i="11" s="1"/>
  <c r="B15" i="11" l="1"/>
  <c r="M7" i="11"/>
  <c r="M8" i="11" s="1"/>
  <c r="D28" i="11"/>
  <c r="B16" i="11"/>
  <c r="B13" i="11"/>
  <c r="H26" i="10"/>
  <c r="E26" i="10"/>
  <c r="H23" i="10"/>
  <c r="E23" i="10"/>
  <c r="F20" i="10"/>
  <c r="C18" i="10"/>
  <c r="F11" i="10"/>
  <c r="F10" i="10"/>
  <c r="W6" i="9"/>
  <c r="E20" i="9"/>
  <c r="H20" i="9" s="1"/>
  <c r="E21" i="9" s="1"/>
  <c r="C17" i="9"/>
  <c r="P25" i="8"/>
  <c r="S25" i="8"/>
  <c r="T24" i="8"/>
  <c r="Q24" i="8"/>
  <c r="R22" i="8"/>
  <c r="R21" i="8"/>
  <c r="J36" i="8"/>
  <c r="G36" i="8"/>
  <c r="B35" i="8"/>
  <c r="E33" i="8"/>
  <c r="H30" i="8"/>
  <c r="E30" i="8"/>
  <c r="E24" i="8"/>
  <c r="H21" i="8"/>
  <c r="E21" i="8"/>
  <c r="B18" i="8"/>
  <c r="Y27" i="7"/>
  <c r="W26" i="7"/>
  <c r="O22" i="7"/>
  <c r="H33" i="7"/>
  <c r="E33" i="7"/>
  <c r="I30" i="7"/>
  <c r="E20" i="7"/>
  <c r="D30" i="6"/>
  <c r="D27" i="6"/>
  <c r="T26" i="3"/>
  <c r="T25" i="3"/>
  <c r="U21" i="3"/>
  <c r="V2" i="3"/>
  <c r="B18" i="11" l="1"/>
  <c r="E25" i="11"/>
  <c r="H25" i="11" s="1"/>
  <c r="B19" i="11"/>
  <c r="B21" i="11"/>
  <c r="B22" i="11" s="1"/>
  <c r="AF37" i="2"/>
  <c r="AC38" i="2"/>
  <c r="B38" i="2"/>
  <c r="F36" i="2"/>
  <c r="F35" i="2"/>
  <c r="F34" i="2"/>
  <c r="C36" i="2"/>
  <c r="C34" i="2"/>
  <c r="C35" i="2"/>
  <c r="D33" i="2"/>
  <c r="C31" i="2"/>
  <c r="E25" i="2"/>
  <c r="E24" i="2"/>
  <c r="H14" i="2"/>
  <c r="B21" i="2"/>
  <c r="Q27" i="1"/>
  <c r="L30" i="1"/>
  <c r="L28" i="1"/>
  <c r="O24" i="1"/>
  <c r="O23" i="1"/>
  <c r="O22" i="1"/>
  <c r="Y5" i="1"/>
</calcChain>
</file>

<file path=xl/sharedStrings.xml><?xml version="1.0" encoding="utf-8"?>
<sst xmlns="http://schemas.openxmlformats.org/spreadsheetml/2006/main" count="1088" uniqueCount="533">
  <si>
    <t>DL</t>
  </si>
  <si>
    <t>bits</t>
  </si>
  <si>
    <t>2 frames</t>
  </si>
  <si>
    <t>KiB</t>
  </si>
  <si>
    <t>2^10</t>
  </si>
  <si>
    <t>2^6</t>
  </si>
  <si>
    <t>=&gt; 16 bits de direccionamiento de marco = 16 bits offset</t>
  </si>
  <si>
    <t>=&gt; 16 bits de identificación de página en DL</t>
  </si>
  <si>
    <t>=&gt; 8 bits página nivel uno + 8 bits página nivel dos</t>
  </si>
  <si>
    <t>Frame/Pagina</t>
  </si>
  <si>
    <t>PA</t>
  </si>
  <si>
    <t>PB</t>
  </si>
  <si>
    <t>AAAA</t>
  </si>
  <si>
    <t>AA10</t>
  </si>
  <si>
    <t>AAAA (PA)</t>
  </si>
  <si>
    <t>AAAA (PB)</t>
  </si>
  <si>
    <t>AA10 (PB)</t>
  </si>
  <si>
    <t>3254 (PB)</t>
  </si>
  <si>
    <t>Page fault</t>
  </si>
  <si>
    <t>Acceso TLB</t>
  </si>
  <si>
    <t>DF</t>
  </si>
  <si>
    <t>-</t>
  </si>
  <si>
    <t>X</t>
  </si>
  <si>
    <t>91234h</t>
  </si>
  <si>
    <t>XX</t>
  </si>
  <si>
    <t>Acceso TP</t>
  </si>
  <si>
    <t>Estado TLB</t>
  </si>
  <si>
    <t>Frame</t>
  </si>
  <si>
    <t>Página</t>
  </si>
  <si>
    <t>XXXX</t>
  </si>
  <si>
    <t>92234h</t>
  </si>
  <si>
    <t>50101h</t>
  </si>
  <si>
    <t>=&gt;</t>
  </si>
  <si>
    <t>72334h</t>
  </si>
  <si>
    <t>54452h</t>
  </si>
  <si>
    <t>74111h</t>
  </si>
  <si>
    <t>XXX</t>
  </si>
  <si>
    <t>XXXXX</t>
  </si>
  <si>
    <t>T.Bloque</t>
  </si>
  <si>
    <t>2^2</t>
  </si>
  <si>
    <t>2^12</t>
  </si>
  <si>
    <t>bytes</t>
  </si>
  <si>
    <t>Bloques de</t>
  </si>
  <si>
    <t>T. Puntero</t>
  </si>
  <si>
    <t>Punteros de</t>
  </si>
  <si>
    <t>punteros x bloque</t>
  </si>
  <si>
    <t>Inodos con</t>
  </si>
  <si>
    <t>1 PD</t>
  </si>
  <si>
    <t>1 PIS</t>
  </si>
  <si>
    <t>1 PID</t>
  </si>
  <si>
    <t>a)</t>
  </si>
  <si>
    <t xml:space="preserve">Máximo teórico de archivo = </t>
  </si>
  <si>
    <t>Máximo teórico de archivo =  (PD + (PIS * Punteros x Bloque) + (PID * Punteros x Bloque^2) + (PIT * Punteros x Bloque^3)) * Tamaño de bloque</t>
  </si>
  <si>
    <t>*</t>
  </si>
  <si>
    <t>2^12 bytes</t>
  </si>
  <si>
    <t>GiB</t>
  </si>
  <si>
    <t>b)</t>
  </si>
  <si>
    <t>parcial.txt</t>
  </si>
  <si>
    <t>* Analizo con PD</t>
  </si>
  <si>
    <t>NO ALCANZA</t>
  </si>
  <si>
    <t>* Analizo con PIS</t>
  </si>
  <si>
    <t>ALCANZA</t>
  </si>
  <si>
    <t>Accesos a bloque</t>
  </si>
  <si>
    <t>43 accesos a bloques</t>
  </si>
  <si>
    <t>*Utiliza un PIS para acceder</t>
  </si>
  <si>
    <t>2 accesos a bloques de punteros</t>
  </si>
  <si>
    <t>Accesos totales = 45</t>
  </si>
  <si>
    <t>c)</t>
  </si>
  <si>
    <t>1.</t>
  </si>
  <si>
    <t>2.</t>
  </si>
  <si>
    <t>Los alumnos no tienen permisos para ingresar a la carpeta</t>
  </si>
  <si>
    <t>a.</t>
  </si>
  <si>
    <t>b.</t>
  </si>
  <si>
    <t>c.</t>
  </si>
  <si>
    <t>Pueden acceder ya que el inodo del archivo identifica al archivo y este cuenta con permisos suficientes</t>
  </si>
  <si>
    <t>No podrían acceder ya que se intentaría ingresar a la carpeta /docentes y no tienen permisos</t>
  </si>
  <si>
    <t>En el hardlink seguiría siendo accesible ya que solo se decrementa en 1 el contador de HL pero sigue siendo mayor a 0</t>
  </si>
  <si>
    <t>Direccionamiento</t>
  </si>
  <si>
    <t>PD</t>
  </si>
  <si>
    <t>PIS</t>
  </si>
  <si>
    <t>PID</t>
  </si>
  <si>
    <t>Bloques</t>
  </si>
  <si>
    <t>Puntero</t>
  </si>
  <si>
    <t>Punteros por bloque</t>
  </si>
  <si>
    <t>MiB</t>
  </si>
  <si>
    <t>NO PUEDE DIRECCIONAR 100 MiB</t>
  </si>
  <si>
    <t>Una posible solución es agregar un puntero indirecto triple, de modo que el máximo teórico del archivo crezca</t>
  </si>
  <si>
    <t>Bloque</t>
  </si>
  <si>
    <t>2^11</t>
  </si>
  <si>
    <t>i.</t>
  </si>
  <si>
    <t>Leo el archivo en EXT2</t>
  </si>
  <si>
    <t>Archivo/T.Bloque</t>
  </si>
  <si>
    <t>bloques</t>
  </si>
  <si>
    <t>accesos a bloque</t>
  </si>
  <si>
    <t>accesos a bloque de punteros</t>
  </si>
  <si>
    <t>Escribo en FAT 32</t>
  </si>
  <si>
    <t>clusters</t>
  </si>
  <si>
    <t>ii.</t>
  </si>
  <si>
    <t>Deben marcarse los bloques asignados como libres</t>
  </si>
  <si>
    <t>En EXT2</t>
  </si>
  <si>
    <t>Debe marcarse el Inodo como libre</t>
  </si>
  <si>
    <t>Debe liberarse la entrada de directorio correspondiente</t>
  </si>
  <si>
    <t>Debe actualizarse la información del superbloque</t>
  </si>
  <si>
    <t>En FAT32</t>
  </si>
  <si>
    <t>Crear la entrada de directorio y actualizar la tabla Fat</t>
  </si>
  <si>
    <t>300A</t>
  </si>
  <si>
    <t>0000</t>
  </si>
  <si>
    <t>1010</t>
  </si>
  <si>
    <r>
      <rPr>
        <sz val="11"/>
        <color rgb="FFFF0000"/>
        <rFont val="Calibri"/>
        <family val="2"/>
        <scheme val="minor"/>
      </rPr>
      <t>0011</t>
    </r>
  </si>
  <si>
    <t>offset</t>
  </si>
  <si>
    <t>Pedido</t>
  </si>
  <si>
    <t>A100</t>
  </si>
  <si>
    <t>1AEF</t>
  </si>
  <si>
    <t>B010</t>
  </si>
  <si>
    <t>5E12</t>
  </si>
  <si>
    <t>Marco/Pagina</t>
  </si>
  <si>
    <t>PF</t>
  </si>
  <si>
    <t>Escritura en disco</t>
  </si>
  <si>
    <t>a,b)</t>
  </si>
  <si>
    <t>2013h</t>
  </si>
  <si>
    <t>-&gt; 11UM</t>
  </si>
  <si>
    <t>3U</t>
  </si>
  <si>
    <t>4U</t>
  </si>
  <si>
    <t>5M</t>
  </si>
  <si>
    <t>1UM</t>
  </si>
  <si>
    <t>0UM</t>
  </si>
  <si>
    <t>11UM</t>
  </si>
  <si>
    <t>10U</t>
  </si>
  <si>
    <t>-&gt;5M</t>
  </si>
  <si>
    <t>2UM</t>
  </si>
  <si>
    <t>-&gt;1UM</t>
  </si>
  <si>
    <t>10UM</t>
  </si>
  <si>
    <t>1M</t>
  </si>
  <si>
    <t>0M</t>
  </si>
  <si>
    <t>11M</t>
  </si>
  <si>
    <t>10M</t>
  </si>
  <si>
    <t>2M</t>
  </si>
  <si>
    <t>-&gt;4</t>
  </si>
  <si>
    <t>5U</t>
  </si>
  <si>
    <t>12 bits offset</t>
  </si>
  <si>
    <t>DF = (Marco * T.Pagina) + Offset</t>
  </si>
  <si>
    <t>T. Pagina = 2^12</t>
  </si>
  <si>
    <t>DF=</t>
  </si>
  <si>
    <t>=</t>
  </si>
  <si>
    <t>Marco 7</t>
  </si>
  <si>
    <t>Offset 19</t>
  </si>
  <si>
    <t>Direcciones</t>
  </si>
  <si>
    <t>f(0,0) = MOD(0, 10) = 0</t>
  </si>
  <si>
    <t>f(1,0) = MOD(1,10) = 1</t>
  </si>
  <si>
    <t>f(4,10) = MOD(104,10) = 4</t>
  </si>
  <si>
    <t>f(0,1) = MOD(1,10) = 0,90 = 1</t>
  </si>
  <si>
    <t>f(8,0) = MOD(8, 10) = 0,20 = 8</t>
  </si>
  <si>
    <t>20B00h</t>
  </si>
  <si>
    <t>Offset 12 bits</t>
  </si>
  <si>
    <t>20h</t>
  </si>
  <si>
    <t>32d</t>
  </si>
  <si>
    <t>f(32,5) = MOD(57,10) = 7</t>
  </si>
  <si>
    <t>Fisica</t>
  </si>
  <si>
    <t>7B00h</t>
  </si>
  <si>
    <t>2CCAh</t>
  </si>
  <si>
    <t>MOD(A,10) = 2</t>
  </si>
  <si>
    <t>Pagina 1</t>
  </si>
  <si>
    <t>PID 0</t>
  </si>
  <si>
    <t>1CCAh</t>
  </si>
  <si>
    <t>Lógica</t>
  </si>
  <si>
    <t>FAT16</t>
  </si>
  <si>
    <t>Máximo direccionable teórico = Cantidad máxima de punteros * Tamaño de bloque</t>
  </si>
  <si>
    <t>2^32 bytes = 2^16 bytes * Tamaño de bloque</t>
  </si>
  <si>
    <t>Tamaño de bloque = 2^16 bytes = 64KiB</t>
  </si>
  <si>
    <t>Max. Punteros</t>
  </si>
  <si>
    <t>2 accesos a cluster</t>
  </si>
  <si>
    <t>1 acceso a FAT</t>
  </si>
  <si>
    <t>Entradas FAT = T.Bloque / Máximo direccionable</t>
  </si>
  <si>
    <t xml:space="preserve">Entradas FAT = </t>
  </si>
  <si>
    <t xml:space="preserve">Tamaño FAT = </t>
  </si>
  <si>
    <t>Máximo teórico del archivo = 4GiB</t>
  </si>
  <si>
    <t>Máximo real = Máximo teórico - (Tamaño FAT * 2)</t>
  </si>
  <si>
    <t>Tamaño FAT = T.Puntero * Entradas</t>
  </si>
  <si>
    <t>Tamaño FAT = 2 bytes * 65536</t>
  </si>
  <si>
    <t>2^7</t>
  </si>
  <si>
    <t>Máximo real = 2^32 - 2^18</t>
  </si>
  <si>
    <t>1)</t>
  </si>
  <si>
    <t>B31Eh</t>
  </si>
  <si>
    <t>Frame 11</t>
  </si>
  <si>
    <t>Página 3</t>
  </si>
  <si>
    <t>B = 1011 = 11d =&gt; 4 bits frame y 12 bits de offset</t>
  </si>
  <si>
    <t>331Eh</t>
  </si>
  <si>
    <t>2)</t>
  </si>
  <si>
    <t>Página que llega</t>
  </si>
  <si>
    <t>Operación</t>
  </si>
  <si>
    <t>L</t>
  </si>
  <si>
    <t>E</t>
  </si>
  <si>
    <t>B1A0h (11)</t>
  </si>
  <si>
    <t>C451h (12)</t>
  </si>
  <si>
    <t>A11Eh (10)</t>
  </si>
  <si>
    <t>B0E0h (11)</t>
  </si>
  <si>
    <t>3EA1h (3)</t>
  </si>
  <si>
    <t>5100h (5)</t>
  </si>
  <si>
    <t>-&gt;3U</t>
  </si>
  <si>
    <t>FIFO no puede utilizarse ya que no se cual llegó primero</t>
  </si>
  <si>
    <t>LRU no puede utilizarse ya que el estado final no coincide</t>
  </si>
  <si>
    <t>11U</t>
  </si>
  <si>
    <t>-&gt;11U</t>
  </si>
  <si>
    <t>Clock no puede utilizarse ya que el estado final no coincide</t>
  </si>
  <si>
    <t>12U</t>
  </si>
  <si>
    <t>3UM</t>
  </si>
  <si>
    <t>-&gt;12U</t>
  </si>
  <si>
    <t>-&gt;11M</t>
  </si>
  <si>
    <t>-&gt;3UM</t>
  </si>
  <si>
    <t>Puede utilizar CLOCK-M</t>
  </si>
  <si>
    <t>CLOCK-M</t>
  </si>
  <si>
    <t>LRU</t>
  </si>
  <si>
    <t>a_</t>
  </si>
  <si>
    <t>b_</t>
  </si>
  <si>
    <t>c_</t>
  </si>
  <si>
    <t>Tenemos pocos procesos en ejecución, no superan el grado de multiprogramación.</t>
  </si>
  <si>
    <t>Los procesos no superan el grado de multiprogramación, algunos ocuparon todas sus páginas y deben ir a buscar a disco cuando ocurren PF.</t>
  </si>
  <si>
    <t>Tenemos una sobrepaginación, pasamos más tiempo buscando páginas en disco que ejecutando procesos.</t>
  </si>
  <si>
    <t>No. De hecho aumentar el grado de multiprogramación empeoraría la situación. En todo caso habría que bajarlo o mejorar la memoria de la máquina.</t>
  </si>
  <si>
    <t>3)</t>
  </si>
  <si>
    <t>Aumentar el grado de multiprogramación podría aumentar el uso de CPU siempre y cuando no lleguemos al punto de generar una sobrepaginación.</t>
  </si>
  <si>
    <t>Aumentar el grado de multiprogramación podría aumentar el uso de CPU siempre y cuando no lleguemos al punto de generar una sobrepaginación (estamos más lejos que en B).</t>
  </si>
  <si>
    <t>4 procesos compartiendo 4 frames, sustitución local</t>
  </si>
  <si>
    <t>1 proceso usando 4 frames</t>
  </si>
  <si>
    <t>4 procesos compartiendo 4 frames donde se puede aprovechar la localidad en memoria principal</t>
  </si>
  <si>
    <t>Máximo real = 3,99GiB</t>
  </si>
  <si>
    <t>TiB</t>
  </si>
  <si>
    <t>No, es un archivo de directorio y no puede tener HL. Las referencias son de sus directorios hijos.</t>
  </si>
  <si>
    <t>Desde 3 lugares</t>
  </si>
  <si>
    <t>Para "the_dir" alcanza con 10 punteros directos</t>
  </si>
  <si>
    <t>FS de 2TiB =&gt; Direcciones de 2^41 bytes</t>
  </si>
  <si>
    <t>Para "miguel" tenemos 3 accesos más de los bloques que ocupa, entonces tenemos 3 accesos a bloques de punteros. Una posible configuración son los 10 directos, con 1 indirecto simple y 1 indirecto doble. Asumimos que los punteros pueden direccionar 128 bytes.</t>
  </si>
  <si>
    <t>Sabemos que las direcciones deben ser potencias de 2 =&gt; Tomamos 32 bits</t>
  </si>
  <si>
    <t>Máximo FS = Direccionamiento * T.Bloque</t>
  </si>
  <si>
    <t>T. Bloque =</t>
  </si>
  <si>
    <t>Archivo = T.Bloque * Bloques</t>
  </si>
  <si>
    <t xml:space="preserve">Archivo = </t>
  </si>
  <si>
    <t>Proceso</t>
  </si>
  <si>
    <t>Referencia a puntero</t>
  </si>
  <si>
    <t>A</t>
  </si>
  <si>
    <t>B</t>
  </si>
  <si>
    <t>2930h</t>
  </si>
  <si>
    <t>1D03h</t>
  </si>
  <si>
    <r>
      <rPr>
        <sz val="11"/>
        <color rgb="FFFF0000"/>
        <rFont val="Calibri"/>
        <family val="2"/>
        <scheme val="minor"/>
      </rPr>
      <t>10 1</t>
    </r>
    <r>
      <rPr>
        <sz val="11"/>
        <color theme="1"/>
        <rFont val="Calibri"/>
        <family val="2"/>
        <scheme val="minor"/>
      </rPr>
      <t>001 0011 0000</t>
    </r>
  </si>
  <si>
    <r>
      <rPr>
        <sz val="11"/>
        <color rgb="FFFF0000"/>
        <rFont val="Calibri"/>
        <family val="2"/>
        <scheme val="minor"/>
      </rPr>
      <t>01 1</t>
    </r>
    <r>
      <rPr>
        <sz val="11"/>
        <color theme="1"/>
        <rFont val="Calibri"/>
        <family val="2"/>
        <scheme val="minor"/>
      </rPr>
      <t>101 0000 0011</t>
    </r>
  </si>
  <si>
    <t>Proceso A</t>
  </si>
  <si>
    <t>Page Faults</t>
  </si>
  <si>
    <t>Escrituras en disco</t>
  </si>
  <si>
    <t>1 (Esc)</t>
  </si>
  <si>
    <t>7 (Lec)</t>
  </si>
  <si>
    <t>0 (Esc)</t>
  </si>
  <si>
    <t>2 (Esc)</t>
  </si>
  <si>
    <t>3 (Esc)</t>
  </si>
  <si>
    <t>Proceso B</t>
  </si>
  <si>
    <t>5 (Lec)</t>
  </si>
  <si>
    <t>5UM</t>
  </si>
  <si>
    <t>-&gt;5UM</t>
  </si>
  <si>
    <t>7UM</t>
  </si>
  <si>
    <t>-&gt;4U</t>
  </si>
  <si>
    <t>7M</t>
  </si>
  <si>
    <t>-&gt;3M</t>
  </si>
  <si>
    <t>Sabemos que la fragmentación interna máxima es 2047 bytes</t>
  </si>
  <si>
    <t>T. Bloque</t>
  </si>
  <si>
    <t>Se consumen 8KiB</t>
  </si>
  <si>
    <t>bloques ocupados por el archivo</t>
  </si>
  <si>
    <t>Bloque 14 se referencia desde el 8, que se referencia desde el 4, que se referencia desde el 11</t>
  </si>
  <si>
    <t>BLOQUE 14</t>
  </si>
  <si>
    <t>Máximo teórico de archivo =</t>
  </si>
  <si>
    <t>Máximo direccionable = 32ZiB</t>
  </si>
  <si>
    <t>2^75</t>
  </si>
  <si>
    <t>2^75 = 2^T. Puntero * 2^11</t>
  </si>
  <si>
    <t>Máximo direccionable = 2^T. Puntero * T. Bloque</t>
  </si>
  <si>
    <t>2^T.Puntero = 2^64</t>
  </si>
  <si>
    <t>T.Puntero = 64 bits</t>
  </si>
  <si>
    <t>T.Puntero =</t>
  </si>
  <si>
    <t>Máximo real de archivo = 16GiB</t>
  </si>
  <si>
    <t>Memoria</t>
  </si>
  <si>
    <t>2^16 bytes</t>
  </si>
  <si>
    <t>5111h</t>
  </si>
  <si>
    <t>B333h</t>
  </si>
  <si>
    <t>8111h</t>
  </si>
  <si>
    <t>7444h</t>
  </si>
  <si>
    <t>*Asumimos que van a haber 8 páginas</t>
  </si>
  <si>
    <t>=&gt; 3 bit de página</t>
  </si>
  <si>
    <t>* Tenemos dos segmentos por proceso</t>
  </si>
  <si>
    <t>=&gt; 1 bit de segmento</t>
  </si>
  <si>
    <t>=&gt; 12 bits de offset</t>
  </si>
  <si>
    <t>Marcos</t>
  </si>
  <si>
    <r>
      <rPr>
        <sz val="11"/>
        <color rgb="FFFF0000"/>
        <rFont val="Calibri"/>
        <family val="2"/>
        <scheme val="minor"/>
      </rPr>
      <t>0101</t>
    </r>
    <r>
      <rPr>
        <sz val="11"/>
        <color theme="1"/>
        <rFont val="Calibri"/>
        <family val="2"/>
        <scheme val="minor"/>
      </rPr>
      <t xml:space="preserve"> 0001 0001 0001</t>
    </r>
  </si>
  <si>
    <r>
      <rPr>
        <sz val="11"/>
        <color rgb="FFFF0000"/>
        <rFont val="Calibri"/>
        <family val="2"/>
        <scheme val="minor"/>
      </rPr>
      <t>1011</t>
    </r>
    <r>
      <rPr>
        <sz val="11"/>
        <color theme="1"/>
        <rFont val="Calibri"/>
        <family val="2"/>
        <scheme val="minor"/>
      </rPr>
      <t xml:space="preserve"> 0011 0011 0011</t>
    </r>
  </si>
  <si>
    <r>
      <rPr>
        <sz val="11"/>
        <color rgb="FFFF0000"/>
        <rFont val="Calibri"/>
        <family val="2"/>
        <scheme val="minor"/>
      </rPr>
      <t>1000</t>
    </r>
    <r>
      <rPr>
        <sz val="11"/>
        <color theme="1"/>
        <rFont val="Calibri"/>
        <family val="2"/>
        <scheme val="minor"/>
      </rPr>
      <t xml:space="preserve"> 0001 0001 0001</t>
    </r>
  </si>
  <si>
    <r>
      <rPr>
        <sz val="11"/>
        <color rgb="FFFF0000"/>
        <rFont val="Calibri"/>
        <family val="2"/>
        <scheme val="minor"/>
      </rPr>
      <t>0111</t>
    </r>
    <r>
      <rPr>
        <sz val="11"/>
        <color theme="1"/>
        <rFont val="Calibri"/>
        <family val="2"/>
        <scheme val="minor"/>
      </rPr>
      <t xml:space="preserve"> 0100 0100 0100</t>
    </r>
  </si>
  <si>
    <t>PID1-P0</t>
  </si>
  <si>
    <t>PID1-P1</t>
  </si>
  <si>
    <t>9333h</t>
  </si>
  <si>
    <t>PID2-P0</t>
  </si>
  <si>
    <t>0444h</t>
  </si>
  <si>
    <t>Tenemos 16 marcos en memoria</t>
  </si>
  <si>
    <t>Solo quedan libres 3</t>
  </si>
  <si>
    <t>Si compartimos el segmento 0 (que nunca se modifica) con el proceso 1, entonces si podemos ya que solo ocuparíamos 2 marcos.</t>
  </si>
  <si>
    <t>Máximo teórico = 2^16bytes</t>
  </si>
  <si>
    <t>Máximo real = 2^16bytes</t>
  </si>
  <si>
    <t>d)</t>
  </si>
  <si>
    <t>No existe fragmentación externa</t>
  </si>
  <si>
    <t>Pagina</t>
  </si>
  <si>
    <t>Fragmentación de 1 segmento</t>
  </si>
  <si>
    <t>La fragmentación interna máxima es de 8190 bytes</t>
  </si>
  <si>
    <t>Punteros</t>
  </si>
  <si>
    <t>Entradas de directorio</t>
  </si>
  <si>
    <t>punteros por bloque</t>
  </si>
  <si>
    <t>Cantidad máxima de archivos = Máximo teórico/T.Entrada de directorio</t>
  </si>
  <si>
    <t>Cantidad máxima de archivos =</t>
  </si>
  <si>
    <t>Clusters</t>
  </si>
  <si>
    <t>2^13</t>
  </si>
  <si>
    <t>Máximo teórico de archivo = Máximo direccionable * T.Bloque</t>
  </si>
  <si>
    <t>FAT 32</t>
  </si>
  <si>
    <t>2^28</t>
  </si>
  <si>
    <t>entradas</t>
  </si>
  <si>
    <t>bits x entrada</t>
  </si>
  <si>
    <t>frames</t>
  </si>
  <si>
    <t>paginas</t>
  </si>
  <si>
    <t>* Necesito 3 bits de frame</t>
  </si>
  <si>
    <t>* Páginas de 8KiB =&gt; 13 bits de offset</t>
  </si>
  <si>
    <r>
      <rPr>
        <sz val="11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1110 0111 1000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</si>
  <si>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0110 0101 1010</t>
    </r>
  </si>
  <si>
    <r>
      <rPr>
        <sz val="11"/>
        <color rgb="FFFF0000"/>
        <rFont val="Calibri"/>
        <family val="2"/>
        <scheme val="minor"/>
      </rPr>
      <t>1 010</t>
    </r>
    <r>
      <rPr>
        <sz val="11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0100 0110 0101</t>
    </r>
  </si>
  <si>
    <t>P2 - 0</t>
  </si>
  <si>
    <t>P1 - 2</t>
  </si>
  <si>
    <t>P4 - 10</t>
  </si>
  <si>
    <t>P3-3</t>
  </si>
  <si>
    <t>P4-3</t>
  </si>
  <si>
    <t>P3-3 U</t>
  </si>
  <si>
    <t>P1-1 U</t>
  </si>
  <si>
    <t>P3-0 M</t>
  </si>
  <si>
    <t>P2-2 U</t>
  </si>
  <si>
    <t>P1-0 UM</t>
  </si>
  <si>
    <t>P3-2 M</t>
  </si>
  <si>
    <t>P2-1</t>
  </si>
  <si>
    <t>-&gt;P1-0 UM</t>
  </si>
  <si>
    <t>-&gt;P4-3</t>
  </si>
  <si>
    <t>-&gt;P3-3 U</t>
  </si>
  <si>
    <t>-&gt;P2-2 U</t>
  </si>
  <si>
    <t>P1-1</t>
  </si>
  <si>
    <t>P4-10 U</t>
  </si>
  <si>
    <t>P2-0 U</t>
  </si>
  <si>
    <t>P1-2 U</t>
  </si>
  <si>
    <t>La última referencia realizada fue del P1-0 ya que es el único que cuenta con bit de uso y modificado</t>
  </si>
  <si>
    <t>4G bloques =&gt; 2^32 bloques =&gt; direcciones de 32 bits =&gt; 4bytes de direccionamiento</t>
  </si>
  <si>
    <t>Punteros por bloque = T. Bloque / Direccionamiento puntero</t>
  </si>
  <si>
    <t>T.Bloque = 256*4bytes</t>
  </si>
  <si>
    <t xml:space="preserve">T.Bloque = </t>
  </si>
  <si>
    <t xml:space="preserve">Máximo real de un archivo = </t>
  </si>
  <si>
    <t>Una opción es agregar dos punteros indirectos dobles</t>
  </si>
  <si>
    <t>Otra opción es agregar un puntero indirecto triple. Acá se utilizará menos espacio pero se realizarán más accesos que en la primer opción.</t>
  </si>
  <si>
    <t>0C02221h</t>
  </si>
  <si>
    <t>01221h</t>
  </si>
  <si>
    <t>* Se sabe que el grado de multiprogramación es 8</t>
  </si>
  <si>
    <t>* Se sabe que la fragmentación interna promedio es 20KiB</t>
  </si>
  <si>
    <t>Fragmentación interna promedio = 1/2*T.Pagina*Segmentos*Multiprogramación</t>
  </si>
  <si>
    <t>20KiB = 1/2*T.Pagina*5*8</t>
  </si>
  <si>
    <t>T. Página</t>
  </si>
  <si>
    <t>* Tenemos 10 bits de offset en direcciones lógicas y físicas</t>
  </si>
  <si>
    <t>* 5 segmentos por proceso =&gt; 3 bits de segmento</t>
  </si>
  <si>
    <t>0CC2221h</t>
  </si>
  <si>
    <t>Segmento 1100 (12): inválido</t>
  </si>
  <si>
    <t>Segmento 110 (6): inválido</t>
  </si>
  <si>
    <t>Segmento 3</t>
  </si>
  <si>
    <r>
      <rPr>
        <sz val="11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 xml:space="preserve">0 </t>
    </r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00 1100 0010 00</t>
    </r>
    <r>
      <rPr>
        <b/>
        <sz val="11"/>
        <color theme="1"/>
        <rFont val="Calibri"/>
        <family val="2"/>
        <scheme val="minor"/>
      </rPr>
      <t>10 0010 0001</t>
    </r>
  </si>
  <si>
    <t>12 bits de página</t>
  </si>
  <si>
    <r>
      <t>000</t>
    </r>
    <r>
      <rPr>
        <sz val="11"/>
        <color rgb="FFFF0000"/>
        <rFont val="Calibri"/>
        <family val="2"/>
        <scheme val="minor"/>
      </rPr>
      <t>1 00</t>
    </r>
    <r>
      <rPr>
        <b/>
        <sz val="11"/>
        <color theme="1"/>
        <rFont val="Calibri"/>
        <family val="2"/>
        <scheme val="minor"/>
      </rPr>
      <t>10 0010 0001</t>
    </r>
  </si>
  <si>
    <t>Victima: Frame 4</t>
  </si>
  <si>
    <t>Podría ser clock modificado ya que el siguiente reemplazo sería el frame 4</t>
  </si>
  <si>
    <t>No podría ser LRU ya que el próximo a reemplazar sería el frame 9</t>
  </si>
  <si>
    <t>No hay fragmentación externa</t>
  </si>
  <si>
    <t>*Tenemos 12 bits de página y 10 bits de offset</t>
  </si>
  <si>
    <t>2^12 paginas * 2^10 T. Página = Tamaño máximo de proceso</t>
  </si>
  <si>
    <t>Tamaño máximo de proceso = 4MiB (por segmento)</t>
  </si>
  <si>
    <t>20MiB</t>
  </si>
  <si>
    <t>Inodo:</t>
  </si>
  <si>
    <t>FAT32</t>
  </si>
  <si>
    <t>bits por entrada</t>
  </si>
  <si>
    <t>Máximo teórico de archivo FAT = Máximo Direccionamiento * T. Bloque</t>
  </si>
  <si>
    <t xml:space="preserve">Máximo teórico de archivo FAT = </t>
  </si>
  <si>
    <t>Si mantiene los bloques del mismo tamaño estará desperdiciando 1TiB de memoria aprovechable.</t>
  </si>
  <si>
    <t>Podría generar otra partición para aprovechar el tera restante o aumentar el tamaño de los bloques.</t>
  </si>
  <si>
    <t>Si, podrá aprovechar el espacio mucho más ya que antes estaba limitado a archivos de 1GiB.</t>
  </si>
  <si>
    <t>La interna, ya que ni FAT ni EXT sufren fragmentación externa.</t>
  </si>
  <si>
    <t>A1011111h</t>
  </si>
  <si>
    <r>
      <rPr>
        <sz val="11"/>
        <color rgb="FFFF0000"/>
        <rFont val="Calibri"/>
        <family val="2"/>
        <scheme val="minor"/>
      </rPr>
      <t>1010 0001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/>
        <rFont val="Calibri"/>
        <family val="2"/>
        <scheme val="minor"/>
      </rPr>
      <t>0000 0001</t>
    </r>
    <r>
      <rPr>
        <sz val="11"/>
        <color theme="1"/>
        <rFont val="Calibri"/>
        <family val="2"/>
        <scheme val="minor"/>
      </rPr>
      <t xml:space="preserve"> 0001 0001 0001 0001</t>
    </r>
  </si>
  <si>
    <t>C1111h</t>
  </si>
  <si>
    <t>030110ABh</t>
  </si>
  <si>
    <r>
      <rPr>
        <sz val="11"/>
        <color rgb="FFFF0000"/>
        <rFont val="Calibri"/>
        <family val="2"/>
        <scheme val="minor"/>
      </rPr>
      <t>0000 0011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/>
        <rFont val="Calibri"/>
        <family val="2"/>
        <scheme val="minor"/>
      </rPr>
      <t>0000 0001</t>
    </r>
    <r>
      <rPr>
        <sz val="11"/>
        <color theme="1"/>
        <rFont val="Calibri"/>
        <family val="2"/>
        <scheme val="minor"/>
      </rPr>
      <t xml:space="preserve"> 0001 0000 1010 1011</t>
    </r>
  </si>
  <si>
    <t>-&gt; Buscado en TLB</t>
  </si>
  <si>
    <t>-&gt; Busco en TLB y no está</t>
  </si>
  <si>
    <t>-&gt; Busco la página nivel 1 y veo que no está</t>
  </si>
  <si>
    <t>-&gt; Traigo la página y la asigno en el marco 20</t>
  </si>
  <si>
    <t>-&gt; Busco la página nivel 2 y veo que no está</t>
  </si>
  <si>
    <t>-&gt; Traigo la página nivel 2 y la asigno en el marco 25</t>
  </si>
  <si>
    <t>1910ABh</t>
  </si>
  <si>
    <t>-&gt; Traigo la página y le asigno el marco 31</t>
  </si>
  <si>
    <t>-&gt; Busco la página nivel 1 y veo ahora está presente</t>
  </si>
  <si>
    <t>-&gt; Busco la página nivel 2 veo que está presente</t>
  </si>
  <si>
    <t>03030001h</t>
  </si>
  <si>
    <r>
      <rPr>
        <sz val="11"/>
        <color rgb="FFFF0000"/>
        <rFont val="Calibri"/>
        <family val="2"/>
        <scheme val="minor"/>
      </rPr>
      <t>0000 0011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/>
        <rFont val="Calibri"/>
        <family val="2"/>
        <scheme val="minor"/>
      </rPr>
      <t>0000 0011</t>
    </r>
    <r>
      <rPr>
        <sz val="11"/>
        <color theme="1"/>
        <rFont val="Calibri"/>
        <family val="2"/>
        <scheme val="minor"/>
      </rPr>
      <t xml:space="preserve"> 0000 0000 0000 0001</t>
    </r>
  </si>
  <si>
    <t>B0001h</t>
  </si>
  <si>
    <t xml:space="preserve">Puntero </t>
  </si>
  <si>
    <t>UFS</t>
  </si>
  <si>
    <t>Con punteros directos</t>
  </si>
  <si>
    <t>1KiB</t>
  </si>
  <si>
    <t>hasta acá se cubre el mínimo</t>
  </si>
  <si>
    <t>Con punteros indirectos simples</t>
  </si>
  <si>
    <t>hasta acá cubrimos los archivos de 1MiB</t>
  </si>
  <si>
    <t>Con punteros indirectos dobles</t>
  </si>
  <si>
    <t>acá cubrimos archivos potencialmente más grandes</t>
  </si>
  <si>
    <t>Máximo teórico de archivo = Direccionamiento máximo * Tamaño de bloque</t>
  </si>
  <si>
    <t>Fragmentación interna =</t>
  </si>
  <si>
    <t>Accesos FAT = Tamaño archivo / Tamaño bloque</t>
  </si>
  <si>
    <t>Accesos FAT =</t>
  </si>
  <si>
    <t>Accesos UFS = (Tamaño archivo/Tamaño bloque)+Accesos por punteros indirectos</t>
  </si>
  <si>
    <t>Accesos UFS = 1024 + 4 accesos de puntero simple</t>
  </si>
  <si>
    <t>e)</t>
  </si>
  <si>
    <t>FAT: se apunta el archivo al primer bloque libre y se actualiza la tabla FAT</t>
  </si>
  <si>
    <t>UFS: se asigna el primer inodo disponible, se asignan los bloques, se actualizan los bitmaps de inodo y de bloques, se crea la entrada de directorio y se actualiza el superbloque</t>
  </si>
  <si>
    <t>Tamaño FAT = Tamaño bloque * Direccionamiento máximo</t>
  </si>
  <si>
    <t>Tamaño FAT = 256GiB</t>
  </si>
  <si>
    <t>Tamaño UFS = 2^bits puntero * Tamaño bloque</t>
  </si>
  <si>
    <t>Tamaño UFS =</t>
  </si>
  <si>
    <t>segmentos x proc.</t>
  </si>
  <si>
    <t>páginas x seg.</t>
  </si>
  <si>
    <t>0x00E5</t>
  </si>
  <si>
    <t>Segmento 0</t>
  </si>
  <si>
    <t>Página 0</t>
  </si>
  <si>
    <t>Marco 11</t>
  </si>
  <si>
    <t>* 4 páginas x segmento =&gt; 2 bits de página</t>
  </si>
  <si>
    <t>* 16 segmentos por proceso =&gt; 4 bits de segmento</t>
  </si>
  <si>
    <t>* Saco segmento y página =&gt; 10 bits de offset</t>
  </si>
  <si>
    <r>
      <rPr>
        <sz val="11"/>
        <color theme="8"/>
        <rFont val="Calibri"/>
        <family val="2"/>
        <scheme val="minor"/>
      </rPr>
      <t xml:space="preserve">0000 </t>
    </r>
    <r>
      <rPr>
        <sz val="11"/>
        <color rgb="FFFF0000"/>
        <rFont val="Calibri"/>
        <family val="2"/>
        <scheme val="minor"/>
      </rPr>
      <t>00</t>
    </r>
    <r>
      <rPr>
        <sz val="11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 xml:space="preserve"> 1110 0101</t>
    </r>
  </si>
  <si>
    <t>0x2CE5</t>
  </si>
  <si>
    <t>*Tiene permisos para escribir</t>
  </si>
  <si>
    <t>0x1D61</t>
  </si>
  <si>
    <r>
      <rPr>
        <sz val="11"/>
        <color theme="8"/>
        <rFont val="Calibri"/>
        <family val="2"/>
        <scheme val="minor"/>
      </rPr>
      <t>0001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01 0110 0001</t>
    </r>
  </si>
  <si>
    <t>Segmento 1</t>
  </si>
  <si>
    <t>T. Página = 1KiB</t>
  </si>
  <si>
    <t>No existe la página 3 en el segmento. Acceso inválido</t>
  </si>
  <si>
    <t>0x1389</t>
  </si>
  <si>
    <r>
      <rPr>
        <sz val="11"/>
        <color theme="8"/>
        <rFont val="Calibri"/>
        <family val="2"/>
        <scheme val="minor"/>
      </rPr>
      <t>0001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11 1000 1001</t>
    </r>
  </si>
  <si>
    <t>No hay permisos</t>
  </si>
  <si>
    <t>0x23AC</t>
  </si>
  <si>
    <r>
      <rPr>
        <sz val="11"/>
        <color theme="8"/>
        <rFont val="Calibri"/>
        <family val="2"/>
        <scheme val="minor"/>
      </rPr>
      <t>0010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11 1010 1100</t>
    </r>
  </si>
  <si>
    <t>Segmento 2</t>
  </si>
  <si>
    <t>Marco 20</t>
  </si>
  <si>
    <t>0x53AC</t>
  </si>
  <si>
    <t>0x23FD</t>
  </si>
  <si>
    <r>
      <rPr>
        <sz val="11"/>
        <color theme="8"/>
        <rFont val="Calibri"/>
        <family val="2"/>
        <scheme val="minor"/>
      </rPr>
      <t>0010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11 1111 1101</t>
    </r>
  </si>
  <si>
    <t>Offset 3FD</t>
  </si>
  <si>
    <t>3FD &gt; 3F2 =&gt; No existe la dirección</t>
  </si>
  <si>
    <t>Tamaño máximo del archivo = (PD+(PIS*PxB)+(PID*PxB^2)+(PIT*PxB^3))*T. Bloque</t>
  </si>
  <si>
    <t>Tamaño máximo teórico del archivo =</t>
  </si>
  <si>
    <t>Tamaño máximo real del archivo = Tamaño máximo teórico del archivo</t>
  </si>
  <si>
    <t>El tamaño del archivo es mayor al tamaño máximo de archivo que permite el FS</t>
  </si>
  <si>
    <t>Tamaño UFS = 2^bits puntero * T.Bloque</t>
  </si>
  <si>
    <t>Tamaño real = 1TiB</t>
  </si>
  <si>
    <t>Podría incrementarse el tamaño de bloque o agregarse un puntero indirecto triple</t>
  </si>
  <si>
    <t>Entradas Archivo = T.Archivo/T.Bloque</t>
  </si>
  <si>
    <t>Entradas Archivo =</t>
  </si>
  <si>
    <t>páginas x proceso</t>
  </si>
  <si>
    <t>frames x proceso</t>
  </si>
  <si>
    <t>*Sabemos que tenemos 1024 páginas =&gt; 1024 frames</t>
  </si>
  <si>
    <t>T.Frame = T.Pagina = T.Memoria/frames</t>
  </si>
  <si>
    <t>T.Frame = T.Pagina =</t>
  </si>
  <si>
    <t>* Tenemos direcciones de 32 bits =&gt; 20 bits de offset</t>
  </si>
  <si>
    <t xml:space="preserve">Páginas = </t>
  </si>
  <si>
    <t>Fragmentación interna promedio = (T.Página/2)*Grado de multiprogramación</t>
  </si>
  <si>
    <t>Grado de multiprogramación máximo = 1024</t>
  </si>
  <si>
    <t xml:space="preserve">Fragmentación interna promedio = </t>
  </si>
  <si>
    <t>00B12B10h</t>
  </si>
  <si>
    <t>00222ABCh</t>
  </si>
  <si>
    <r>
      <rPr>
        <sz val="11"/>
        <color rgb="FFFF0000"/>
        <rFont val="Calibri"/>
        <family val="2"/>
        <scheme val="minor"/>
      </rPr>
      <t>0000 0000 1011</t>
    </r>
    <r>
      <rPr>
        <sz val="11"/>
        <color theme="1"/>
        <rFont val="Calibri"/>
        <family val="2"/>
        <scheme val="minor"/>
      </rPr>
      <t xml:space="preserve"> 0001 0010 1011 0001 0000</t>
    </r>
  </si>
  <si>
    <r>
      <rPr>
        <sz val="11"/>
        <color rgb="FFFF0000"/>
        <rFont val="Calibri"/>
        <family val="2"/>
        <scheme val="minor"/>
      </rPr>
      <t>0000 0000 0010</t>
    </r>
    <r>
      <rPr>
        <sz val="11"/>
        <color theme="1"/>
        <rFont val="Calibri"/>
        <family val="2"/>
        <scheme val="minor"/>
      </rPr>
      <t xml:space="preserve"> 0010 0010 1010 1011 1100</t>
    </r>
  </si>
  <si>
    <t>Página 11</t>
  </si>
  <si>
    <t>Página 1</t>
  </si>
  <si>
    <t>Página 2</t>
  </si>
  <si>
    <t>Podría ser un LRU, ya que se hace referencia al frame 20 justo antes de intentar reemplazar el 7</t>
  </si>
  <si>
    <t>Podría ser FIFO ya que por orden de llegada le tocaría salir al frame 7</t>
  </si>
  <si>
    <t>Podría ser clock ya que, si suponemos que el puntero está en el frame 7 , sería el próximo a reemplazar.</t>
  </si>
  <si>
    <t>No podría ser clock modificado ya que el próximo objetivo a reemplazar sería el 11, por tener el bit de modificado en 0</t>
  </si>
  <si>
    <t>PxB = T.Bloque/T.Puntero</t>
  </si>
  <si>
    <t>PxB = T.Bloque/4</t>
  </si>
  <si>
    <t>16GiB = T.Bloque*(12+(1/4*T.Bloque)+(1*1/16*T.Bloque^2)+(1*1/64*T.Bloque^3))</t>
  </si>
  <si>
    <t>16GiB  = 12T.Bloque + 1/4(T.Bloque^2) + 1/16(T.Bloque^3) + 1/64(T.Bloque^4)</t>
  </si>
  <si>
    <t>*Buscamos que con el indirecto triple podamos llegar a 16GiB</t>
  </si>
  <si>
    <t>16GiB = 1/64(Bloque^4)</t>
  </si>
  <si>
    <t>= T.Bloque</t>
  </si>
  <si>
    <t>Capacidad máxima = T.Archivo * T.Bloque</t>
  </si>
  <si>
    <t xml:space="preserve">Capacidad máxima = </t>
  </si>
  <si>
    <t>Paginas</t>
  </si>
  <si>
    <t>P1</t>
  </si>
  <si>
    <t>3111h</t>
  </si>
  <si>
    <t>frames de memoria</t>
  </si>
  <si>
    <t>*Se necesitan 4 bits de frame</t>
  </si>
  <si>
    <t>*Se necesitan 2 bits de segmento</t>
  </si>
  <si>
    <t>*Se necesitan 2 bits de página</t>
  </si>
  <si>
    <t>*Se necesitan 12 bits de offset</t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</si>
  <si>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8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0001 0001 0001</t>
    </r>
  </si>
  <si>
    <t>DF = A111h</t>
  </si>
  <si>
    <t>1222h</t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</si>
  <si>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8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 xml:space="preserve"> 0010 0010 0010</t>
    </r>
  </si>
  <si>
    <t>5333h</t>
  </si>
  <si>
    <r>
      <rPr>
        <sz val="11"/>
        <color rgb="FFFF0000"/>
        <rFont val="Calibri"/>
        <family val="2"/>
        <scheme val="minor"/>
      </rPr>
      <t>01</t>
    </r>
    <r>
      <rPr>
        <sz val="11"/>
        <color theme="8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 xml:space="preserve"> 0011 0011 0011</t>
    </r>
  </si>
  <si>
    <t>DF = 7222h</t>
  </si>
  <si>
    <t>No está presente, se reemplaza el frame 7</t>
  </si>
  <si>
    <t>No está presente, clock reemplaza el frame 11</t>
  </si>
  <si>
    <t>DF = B333h</t>
  </si>
  <si>
    <t>P2</t>
  </si>
  <si>
    <t>A444h</t>
  </si>
  <si>
    <t>4111h</t>
  </si>
  <si>
    <t>3222h</t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</si>
  <si>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8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0010 0010 0010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</si>
  <si>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color theme="8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 xml:space="preserve"> 0001 0001 0001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</si>
  <si>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8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0100 0100 0100</t>
    </r>
  </si>
  <si>
    <t>No está presente, se reemplaza el frame 15</t>
  </si>
  <si>
    <t>DF = F444h</t>
  </si>
  <si>
    <t>No está presente, clock reemplaza el frame 4</t>
  </si>
  <si>
    <t>DF = 4111h</t>
  </si>
  <si>
    <t>No está presente, se reemplaza el frame 8</t>
  </si>
  <si>
    <t>DF = 8222h</t>
  </si>
  <si>
    <t>P1 - Segmento 0</t>
  </si>
  <si>
    <t>P1 - Segmento 1</t>
  </si>
  <si>
    <t>P2 - Segmento 0</t>
  </si>
  <si>
    <t>P2- Segmento 1</t>
  </si>
  <si>
    <t>P2- Segmento 2</t>
  </si>
  <si>
    <t>-&gt;12</t>
  </si>
  <si>
    <t>-&gt;9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</si>
</sst>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7" xfId="0" applyBorder="1"/>
    <xf numFmtId="0" fontId="0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5" borderId="6" xfId="0" applyFont="1" applyFill="1" applyBorder="1" applyAlignment="1">
      <alignment horizontal="center"/>
    </xf>
    <xf numFmtId="0" fontId="1" fillId="5" borderId="6" xfId="0" applyFont="1" applyFill="1" applyBorder="1"/>
    <xf numFmtId="0" fontId="1" fillId="5" borderId="8" xfId="0" applyFont="1" applyFill="1" applyBorder="1"/>
    <xf numFmtId="0" fontId="1" fillId="5" borderId="7" xfId="0" applyFont="1" applyFill="1" applyBorder="1"/>
    <xf numFmtId="0" fontId="0" fillId="0" borderId="0" xfId="0" applyAlignment="1">
      <alignment horizontal="right"/>
    </xf>
    <xf numFmtId="0" fontId="0" fillId="5" borderId="9" xfId="0" applyFill="1" applyBorder="1"/>
    <xf numFmtId="0" fontId="0" fillId="5" borderId="10" xfId="0" applyFill="1" applyBorder="1"/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/>
    <xf numFmtId="0" fontId="1" fillId="5" borderId="1" xfId="0" applyFont="1" applyFill="1" applyBorder="1"/>
    <xf numFmtId="0" fontId="0" fillId="5" borderId="1" xfId="0" applyFill="1" applyBorder="1"/>
    <xf numFmtId="0" fontId="0" fillId="0" borderId="0" xfId="0" applyFill="1"/>
    <xf numFmtId="0" fontId="0" fillId="5" borderId="5" xfId="0" applyFill="1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11" fontId="0" fillId="0" borderId="1" xfId="0" quotePrefix="1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/>
    <xf numFmtId="0" fontId="1" fillId="5" borderId="1" xfId="0" applyFont="1" applyFill="1" applyBorder="1" applyAlignment="1">
      <alignment horizontal="center"/>
    </xf>
    <xf numFmtId="0" fontId="1" fillId="0" borderId="0" xfId="0" applyFont="1"/>
    <xf numFmtId="0" fontId="0" fillId="0" borderId="6" xfId="0" applyBorder="1"/>
    <xf numFmtId="0" fontId="1" fillId="5" borderId="11" xfId="0" applyFont="1" applyFill="1" applyBorder="1"/>
    <xf numFmtId="0" fontId="1" fillId="5" borderId="10" xfId="0" applyFont="1" applyFill="1" applyBorder="1"/>
    <xf numFmtId="0" fontId="0" fillId="0" borderId="0" xfId="0" applyFont="1" applyFill="1" applyBorder="1"/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5" borderId="1" xfId="0" applyFont="1" applyFill="1" applyBorder="1" applyAlignment="1"/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quotePrefix="1" applyFont="1" applyBorder="1" applyAlignment="1">
      <alignment horizontal="center"/>
    </xf>
    <xf numFmtId="0" fontId="0" fillId="0" borderId="8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5" borderId="7" xfId="0" applyFill="1" applyBorder="1"/>
    <xf numFmtId="0" fontId="1" fillId="5" borderId="8" xfId="0" quotePrefix="1" applyFont="1" applyFill="1" applyBorder="1" applyAlignment="1">
      <alignment horizontal="center"/>
    </xf>
    <xf numFmtId="0" fontId="0" fillId="0" borderId="0" xfId="0" quotePrefix="1" applyAlignment="1"/>
    <xf numFmtId="0" fontId="1" fillId="5" borderId="13" xfId="0" applyFont="1" applyFill="1" applyBorder="1"/>
    <xf numFmtId="0" fontId="1" fillId="5" borderId="14" xfId="0" applyFont="1" applyFill="1" applyBorder="1"/>
    <xf numFmtId="0" fontId="1" fillId="5" borderId="13" xfId="0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3" fontId="1" fillId="5" borderId="7" xfId="0" applyNumberFormat="1" applyFont="1" applyFill="1" applyBorder="1"/>
    <xf numFmtId="3" fontId="1" fillId="5" borderId="1" xfId="0" applyNumberFormat="1" applyFont="1" applyFill="1" applyBorder="1" applyAlignment="1">
      <alignment horizontal="center"/>
    </xf>
    <xf numFmtId="0" fontId="1" fillId="5" borderId="9" xfId="0" applyFont="1" applyFill="1" applyBorder="1"/>
    <xf numFmtId="0" fontId="1" fillId="5" borderId="9" xfId="0" quotePrefix="1" applyFont="1" applyFill="1" applyBorder="1" applyAlignment="1">
      <alignment horizontal="center"/>
    </xf>
    <xf numFmtId="0" fontId="1" fillId="5" borderId="8" xfId="0" quotePrefix="1" applyFont="1" applyFill="1" applyBorder="1"/>
    <xf numFmtId="0" fontId="0" fillId="0" borderId="0" xfId="0" quotePrefix="1" applyAlignment="1">
      <alignment horizontal="left"/>
    </xf>
    <xf numFmtId="0" fontId="1" fillId="5" borderId="12" xfId="0" applyFont="1" applyFill="1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5" borderId="6" xfId="0" applyFont="1" applyFill="1" applyBorder="1" applyAlignment="1">
      <alignment horizontal="left" wrapText="1"/>
    </xf>
    <xf numFmtId="0" fontId="1" fillId="5" borderId="8" xfId="0" applyFont="1" applyFill="1" applyBorder="1" applyAlignment="1">
      <alignment horizontal="left" wrapText="1"/>
    </xf>
    <xf numFmtId="0" fontId="1" fillId="5" borderId="7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1" fillId="5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1" fillId="0" borderId="10" xfId="0" applyFont="1" applyFill="1" applyBorder="1"/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2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0" fontId="1" fillId="0" borderId="7" xfId="0" applyFont="1" applyFill="1" applyBorder="1"/>
    <xf numFmtId="0" fontId="0" fillId="0" borderId="11" xfId="0" applyFill="1" applyBorder="1"/>
    <xf numFmtId="0" fontId="1" fillId="5" borderId="13" xfId="0" applyFon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5" borderId="14" xfId="0" applyFont="1" applyFill="1" applyBorder="1" applyAlignment="1">
      <alignment wrapText="1"/>
    </xf>
    <xf numFmtId="0" fontId="1" fillId="5" borderId="6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right"/>
    </xf>
    <xf numFmtId="0" fontId="1" fillId="5" borderId="7" xfId="0" quotePrefix="1" applyFont="1" applyFill="1" applyBorder="1"/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657225</xdr:colOff>
      <xdr:row>13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0368A4-D126-61EF-8F18-FC0F40A3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67375" cy="24765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0</xdr:row>
      <xdr:rowOff>0</xdr:rowOff>
    </xdr:from>
    <xdr:to>
      <xdr:col>16</xdr:col>
      <xdr:colOff>466726</xdr:colOff>
      <xdr:row>18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7079BD-70B6-4934-73E2-D021F0DCE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81676" y="0"/>
          <a:ext cx="4876800" cy="36099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828675</xdr:colOff>
      <xdr:row>8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B3ACAD-CE6C-9375-8D70-E8DD19A20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676400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0</xdr:row>
      <xdr:rowOff>66675</xdr:rowOff>
    </xdr:from>
    <xdr:to>
      <xdr:col>20</xdr:col>
      <xdr:colOff>561975</xdr:colOff>
      <xdr:row>20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917B68-5A0C-A3C4-3733-9A8D7A5FC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7775" y="66675"/>
          <a:ext cx="5295900" cy="39147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400051</xdr:colOff>
      <xdr:row>3</xdr:row>
      <xdr:rowOff>123824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52A01F-195B-2AB8-0F6C-CFF0511E9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314950" cy="1876424"/>
        </a:xfrm>
        <a:prstGeom prst="rect">
          <a:avLst/>
        </a:prstGeom>
      </xdr:spPr>
    </xdr:pic>
    <xdr:clientData/>
  </xdr:twoCellAnchor>
  <xdr:twoCellAnchor editAs="oneCell">
    <xdr:from>
      <xdr:col>16</xdr:col>
      <xdr:colOff>28576</xdr:colOff>
      <xdr:row>0</xdr:row>
      <xdr:rowOff>47626</xdr:rowOff>
    </xdr:from>
    <xdr:to>
      <xdr:col>22</xdr:col>
      <xdr:colOff>733426</xdr:colOff>
      <xdr:row>13</xdr:row>
      <xdr:rowOff>161926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12FB2DE-9892-F6A0-A3D4-AA48E45F9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82276" y="47626"/>
          <a:ext cx="5276850" cy="37719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704849</xdr:colOff>
      <xdr:row>11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B2968A-84B5-8217-4E4D-B2C539A86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15074" cy="211455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0</xdr:row>
      <xdr:rowOff>57151</xdr:rowOff>
    </xdr:from>
    <xdr:to>
      <xdr:col>15</xdr:col>
      <xdr:colOff>723900</xdr:colOff>
      <xdr:row>24</xdr:row>
      <xdr:rowOff>19051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941AF6-0323-BCF8-C20A-B4D2F98F5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0" y="57151"/>
          <a:ext cx="5248275" cy="50482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685800</xdr:colOff>
      <xdr:row>8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454FDD3-656C-CA1B-BDAF-B78C1AA42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05425" cy="1524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0</xdr:row>
      <xdr:rowOff>0</xdr:rowOff>
    </xdr:from>
    <xdr:to>
      <xdr:col>16</xdr:col>
      <xdr:colOff>733425</xdr:colOff>
      <xdr:row>19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EC41A8-25D5-926B-F0AD-3F8F38883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0" y="0"/>
          <a:ext cx="5267325" cy="3762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476250</xdr:colOff>
      <xdr:row>10</xdr:row>
      <xdr:rowOff>47898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E11C1B-FB02-C185-D0C1-B148259FF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24475" cy="1952898"/>
        </a:xfrm>
        <a:prstGeom prst="rect">
          <a:avLst/>
        </a:prstGeom>
      </xdr:spPr>
    </xdr:pic>
    <xdr:clientData/>
  </xdr:twoCellAnchor>
  <xdr:twoCellAnchor editAs="oneCell">
    <xdr:from>
      <xdr:col>21</xdr:col>
      <xdr:colOff>57150</xdr:colOff>
      <xdr:row>0</xdr:row>
      <xdr:rowOff>95250</xdr:rowOff>
    </xdr:from>
    <xdr:to>
      <xdr:col>31</xdr:col>
      <xdr:colOff>104774</xdr:colOff>
      <xdr:row>20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493C41C-4C23-0952-1902-6DD755D07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82300" y="95250"/>
          <a:ext cx="5448299" cy="3867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142875</xdr:colOff>
      <xdr:row>20</xdr:row>
      <xdr:rowOff>162479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0731F9-9C3F-D729-4A8D-6410137C3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14950" cy="39724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581025</xdr:colOff>
      <xdr:row>16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E12C4A-1D43-666E-A6BF-D68250780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24475" cy="322897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0</xdr:row>
      <xdr:rowOff>38100</xdr:rowOff>
    </xdr:from>
    <xdr:to>
      <xdr:col>19</xdr:col>
      <xdr:colOff>571500</xdr:colOff>
      <xdr:row>10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3430AE-0648-8F2F-0DB4-A334D926F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2900" y="38100"/>
          <a:ext cx="5486400" cy="2019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8</xdr:col>
      <xdr:colOff>381000</xdr:colOff>
      <xdr:row>12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C79D82-55AF-F61B-1866-E487970F9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5314950" cy="2286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704850</xdr:colOff>
      <xdr:row>15</xdr:row>
      <xdr:rowOff>171449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9102E6-795A-D46D-1F93-0CD1B7B01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648324" cy="3038474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0</xdr:row>
      <xdr:rowOff>0</xdr:rowOff>
    </xdr:from>
    <xdr:to>
      <xdr:col>18</xdr:col>
      <xdr:colOff>0</xdr:colOff>
      <xdr:row>21</xdr:row>
      <xdr:rowOff>229193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480682-4390-31F1-D13F-7617CC949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0"/>
          <a:ext cx="5295900" cy="42487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523876</xdr:colOff>
      <xdr:row>17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0937AC-F365-3CFA-A818-D551CEFF8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334000" cy="3238500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57151</xdr:colOff>
      <xdr:row>0</xdr:row>
      <xdr:rowOff>47625</xdr:rowOff>
    </xdr:from>
    <xdr:to>
      <xdr:col>19</xdr:col>
      <xdr:colOff>733425</xdr:colOff>
      <xdr:row>18</xdr:row>
      <xdr:rowOff>152893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AF04EC6-8E8F-3A8F-653F-89D04569D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48726" y="47625"/>
          <a:ext cx="5591174" cy="353426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542925</xdr:colOff>
      <xdr:row>10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7BFED0-847B-BD3A-AC09-245F3C347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24475" cy="2085975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38101</xdr:colOff>
      <xdr:row>0</xdr:row>
      <xdr:rowOff>9526</xdr:rowOff>
    </xdr:from>
    <xdr:to>
      <xdr:col>19</xdr:col>
      <xdr:colOff>561975</xdr:colOff>
      <xdr:row>20</xdr:row>
      <xdr:rowOff>69548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14BF1E-E7DF-A198-4477-57FDCB81C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10626" y="9526"/>
          <a:ext cx="3943349" cy="387002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342900</xdr:colOff>
      <xdr:row>12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F90F803-40C0-2004-98D7-B98E28584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14950" cy="24384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38101</xdr:colOff>
      <xdr:row>0</xdr:row>
      <xdr:rowOff>0</xdr:rowOff>
    </xdr:from>
    <xdr:to>
      <xdr:col>19</xdr:col>
      <xdr:colOff>723900</xdr:colOff>
      <xdr:row>19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A14CCE4-C112-6AC8-B5C7-1C5980402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5401" y="0"/>
          <a:ext cx="5400674" cy="3619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38"/>
  <sheetViews>
    <sheetView workbookViewId="0">
      <selection activeCell="L21" sqref="L21"/>
    </sheetView>
  </sheetViews>
  <sheetFormatPr baseColWidth="10" defaultColWidth="9.140625" defaultRowHeight="15" x14ac:dyDescent="0.25"/>
  <cols>
    <col min="2" max="2" width="13" customWidth="1"/>
    <col min="3" max="3" width="10.85546875" customWidth="1"/>
    <col min="4" max="4" width="11.85546875" bestFit="1" customWidth="1"/>
    <col min="5" max="5" width="10.140625" customWidth="1"/>
    <col min="6" max="6" width="9.7109375" customWidth="1"/>
    <col min="7" max="7" width="10.42578125" customWidth="1"/>
    <col min="8" max="8" width="10.140625" customWidth="1"/>
    <col min="9" max="9" width="1.42578125" style="12" customWidth="1"/>
    <col min="12" max="12" width="9.42578125" bestFit="1" customWidth="1"/>
    <col min="15" max="15" width="11" bestFit="1" customWidth="1"/>
    <col min="18" max="18" width="10.5703125" customWidth="1"/>
  </cols>
  <sheetData>
    <row r="2" spans="1:27" x14ac:dyDescent="0.25">
      <c r="R2" s="2" t="s">
        <v>38</v>
      </c>
      <c r="S2" s="2">
        <v>4</v>
      </c>
      <c r="T2" s="2" t="s">
        <v>3</v>
      </c>
      <c r="U2" s="85" t="s">
        <v>32</v>
      </c>
      <c r="V2" s="84" t="s">
        <v>42</v>
      </c>
      <c r="W2" s="84"/>
      <c r="X2" s="86" t="s">
        <v>32</v>
      </c>
    </row>
    <row r="3" spans="1:27" x14ac:dyDescent="0.25">
      <c r="R3" s="2"/>
      <c r="S3" s="2" t="s">
        <v>39</v>
      </c>
      <c r="T3" s="2" t="s">
        <v>4</v>
      </c>
      <c r="U3" s="85"/>
      <c r="V3" s="13" t="s">
        <v>40</v>
      </c>
      <c r="W3" s="14" t="s">
        <v>41</v>
      </c>
      <c r="X3" s="87"/>
    </row>
    <row r="4" spans="1:27" x14ac:dyDescent="0.25">
      <c r="X4" s="87"/>
      <c r="Y4" s="15" t="s">
        <v>4</v>
      </c>
      <c r="Z4" s="16" t="s">
        <v>45</v>
      </c>
      <c r="AA4" s="17"/>
    </row>
    <row r="5" spans="1:27" x14ac:dyDescent="0.25">
      <c r="R5" s="2" t="s">
        <v>43</v>
      </c>
      <c r="S5" s="2">
        <v>4</v>
      </c>
      <c r="T5" s="2" t="s">
        <v>41</v>
      </c>
      <c r="U5" s="85" t="s">
        <v>32</v>
      </c>
      <c r="V5" s="84" t="s">
        <v>44</v>
      </c>
      <c r="W5" s="84"/>
      <c r="X5" s="87"/>
      <c r="Y5" s="2">
        <f>POWER(2,10)</f>
        <v>1024</v>
      </c>
    </row>
    <row r="6" spans="1:27" x14ac:dyDescent="0.25">
      <c r="R6" s="2"/>
      <c r="S6" s="2" t="s">
        <v>39</v>
      </c>
      <c r="T6" s="2"/>
      <c r="U6" s="85"/>
      <c r="V6" s="13" t="s">
        <v>39</v>
      </c>
      <c r="W6" s="14" t="s">
        <v>41</v>
      </c>
      <c r="X6" s="87"/>
    </row>
    <row r="8" spans="1:27" x14ac:dyDescent="0.25">
      <c r="R8" t="s">
        <v>46</v>
      </c>
    </row>
    <row r="9" spans="1:27" x14ac:dyDescent="0.25">
      <c r="R9" t="s">
        <v>47</v>
      </c>
      <c r="S9" t="s">
        <v>48</v>
      </c>
      <c r="T9" t="s">
        <v>49</v>
      </c>
    </row>
    <row r="15" spans="1:27" x14ac:dyDescent="0.25">
      <c r="A15" t="s">
        <v>0</v>
      </c>
      <c r="B15">
        <v>32</v>
      </c>
      <c r="C15" t="s">
        <v>1</v>
      </c>
    </row>
    <row r="16" spans="1:27" x14ac:dyDescent="0.25">
      <c r="A16" t="s">
        <v>2</v>
      </c>
      <c r="B16">
        <v>64</v>
      </c>
      <c r="C16" t="s">
        <v>3</v>
      </c>
    </row>
    <row r="17" spans="1:21" x14ac:dyDescent="0.25">
      <c r="B17" t="s">
        <v>5</v>
      </c>
      <c r="C17" t="s">
        <v>4</v>
      </c>
      <c r="D17" s="1" t="s">
        <v>6</v>
      </c>
    </row>
    <row r="18" spans="1:21" x14ac:dyDescent="0.25">
      <c r="D18" s="1" t="s">
        <v>7</v>
      </c>
    </row>
    <row r="19" spans="1:21" x14ac:dyDescent="0.25">
      <c r="D19" s="1" t="s">
        <v>8</v>
      </c>
    </row>
    <row r="21" spans="1:21" x14ac:dyDescent="0.25">
      <c r="B21" s="5" t="s">
        <v>9</v>
      </c>
      <c r="C21" s="5" t="s">
        <v>14</v>
      </c>
      <c r="D21" s="5" t="s">
        <v>14</v>
      </c>
      <c r="E21" s="5" t="s">
        <v>15</v>
      </c>
      <c r="F21" s="5" t="s">
        <v>16</v>
      </c>
      <c r="G21" s="5" t="s">
        <v>15</v>
      </c>
      <c r="H21" s="5" t="s">
        <v>17</v>
      </c>
      <c r="K21" s="18" t="s">
        <v>50</v>
      </c>
      <c r="L21" t="s">
        <v>52</v>
      </c>
    </row>
    <row r="22" spans="1:21" x14ac:dyDescent="0.25">
      <c r="A22" s="91" t="s">
        <v>10</v>
      </c>
      <c r="B22" s="5">
        <v>9</v>
      </c>
      <c r="C22" s="3" t="s">
        <v>12</v>
      </c>
      <c r="D22" s="3" t="s">
        <v>12</v>
      </c>
      <c r="E22" s="3" t="s">
        <v>12</v>
      </c>
      <c r="F22" s="3" t="s">
        <v>12</v>
      </c>
      <c r="G22" s="3" t="s">
        <v>12</v>
      </c>
      <c r="H22" s="3" t="s">
        <v>12</v>
      </c>
      <c r="L22" t="s">
        <v>51</v>
      </c>
      <c r="O22">
        <f>1+(1*Y5)+(1*POWER(Y5,2))</f>
        <v>1049601</v>
      </c>
      <c r="P22" t="s">
        <v>41</v>
      </c>
      <c r="Q22" s="2" t="s">
        <v>53</v>
      </c>
      <c r="R22" t="s">
        <v>54</v>
      </c>
    </row>
    <row r="23" spans="1:21" x14ac:dyDescent="0.25">
      <c r="A23" s="91"/>
      <c r="B23" s="5">
        <v>10</v>
      </c>
      <c r="C23" s="3" t="s">
        <v>21</v>
      </c>
      <c r="D23" s="3" t="s">
        <v>21</v>
      </c>
      <c r="E23" s="3" t="s">
        <v>21</v>
      </c>
      <c r="F23" s="3" t="s">
        <v>21</v>
      </c>
      <c r="G23" s="3" t="s">
        <v>21</v>
      </c>
      <c r="H23" s="3" t="s">
        <v>21</v>
      </c>
      <c r="L23" t="s">
        <v>51</v>
      </c>
      <c r="O23">
        <f>O22*POWER(2,12)</f>
        <v>4299165696</v>
      </c>
      <c r="P23" t="s">
        <v>41</v>
      </c>
    </row>
    <row r="24" spans="1:21" x14ac:dyDescent="0.25">
      <c r="A24" s="91" t="s">
        <v>11</v>
      </c>
      <c r="B24" s="5">
        <v>5</v>
      </c>
      <c r="C24" s="3" t="s">
        <v>21</v>
      </c>
      <c r="D24" s="3" t="s">
        <v>21</v>
      </c>
      <c r="E24" s="3" t="s">
        <v>12</v>
      </c>
      <c r="F24" s="3" t="s">
        <v>12</v>
      </c>
      <c r="G24" s="3" t="s">
        <v>12</v>
      </c>
      <c r="H24" s="3" t="s">
        <v>12</v>
      </c>
      <c r="L24" s="21" t="s">
        <v>51</v>
      </c>
      <c r="M24" s="22"/>
      <c r="N24" s="22"/>
      <c r="O24" s="22">
        <f>O23/POWER(2,30)</f>
        <v>4.0039100646972656</v>
      </c>
      <c r="P24" s="23" t="s">
        <v>55</v>
      </c>
    </row>
    <row r="25" spans="1:21" ht="15.75" thickBot="1" x14ac:dyDescent="0.3">
      <c r="A25" s="91"/>
      <c r="B25" s="7">
        <v>7</v>
      </c>
      <c r="C25" s="8" t="s">
        <v>21</v>
      </c>
      <c r="D25" s="8" t="s">
        <v>21</v>
      </c>
      <c r="E25" s="8" t="s">
        <v>21</v>
      </c>
      <c r="F25" s="8" t="s">
        <v>13</v>
      </c>
      <c r="G25" s="8" t="s">
        <v>13</v>
      </c>
      <c r="H25" s="11">
        <v>3254</v>
      </c>
    </row>
    <row r="26" spans="1:21" x14ac:dyDescent="0.25">
      <c r="B26" s="6" t="s">
        <v>18</v>
      </c>
      <c r="C26" s="9" t="s">
        <v>22</v>
      </c>
      <c r="D26" s="9" t="s">
        <v>21</v>
      </c>
      <c r="E26" s="9" t="s">
        <v>22</v>
      </c>
      <c r="F26" s="9" t="s">
        <v>22</v>
      </c>
      <c r="G26" s="9" t="s">
        <v>21</v>
      </c>
      <c r="H26" s="9" t="s">
        <v>22</v>
      </c>
      <c r="K26" s="19" t="s">
        <v>56</v>
      </c>
      <c r="L26" t="s">
        <v>57</v>
      </c>
      <c r="N26">
        <v>175000</v>
      </c>
      <c r="O26" t="s">
        <v>41</v>
      </c>
      <c r="Q26" t="s">
        <v>62</v>
      </c>
    </row>
    <row r="27" spans="1:21" x14ac:dyDescent="0.25">
      <c r="B27" s="5" t="s">
        <v>19</v>
      </c>
      <c r="C27" s="3" t="s">
        <v>24</v>
      </c>
      <c r="D27" s="3" t="s">
        <v>22</v>
      </c>
      <c r="E27" s="3" t="s">
        <v>24</v>
      </c>
      <c r="F27" s="3" t="s">
        <v>24</v>
      </c>
      <c r="G27" s="3" t="s">
        <v>22</v>
      </c>
      <c r="H27" s="3" t="s">
        <v>36</v>
      </c>
      <c r="L27" t="s">
        <v>58</v>
      </c>
      <c r="Q27">
        <f>N26/POWER(2,12)</f>
        <v>42.724609375</v>
      </c>
      <c r="R27" s="10" t="s">
        <v>32</v>
      </c>
      <c r="S27" t="s">
        <v>63</v>
      </c>
    </row>
    <row r="28" spans="1:21" x14ac:dyDescent="0.25">
      <c r="B28" s="5" t="s">
        <v>25</v>
      </c>
      <c r="C28" s="3" t="s">
        <v>29</v>
      </c>
      <c r="D28" s="3" t="s">
        <v>21</v>
      </c>
      <c r="E28" s="3" t="s">
        <v>29</v>
      </c>
      <c r="F28" s="3" t="s">
        <v>29</v>
      </c>
      <c r="G28" s="3" t="s">
        <v>21</v>
      </c>
      <c r="H28" s="3" t="s">
        <v>37</v>
      </c>
      <c r="L28">
        <f>1*POWER(2,12)</f>
        <v>4096</v>
      </c>
      <c r="M28" t="s">
        <v>41</v>
      </c>
      <c r="N28" t="s">
        <v>59</v>
      </c>
      <c r="Q28" t="s">
        <v>64</v>
      </c>
      <c r="T28" s="10" t="s">
        <v>32</v>
      </c>
      <c r="U28" t="s">
        <v>65</v>
      </c>
    </row>
    <row r="29" spans="1:21" x14ac:dyDescent="0.25">
      <c r="B29" s="5" t="s">
        <v>20</v>
      </c>
      <c r="C29" s="3" t="s">
        <v>23</v>
      </c>
      <c r="D29" s="3" t="s">
        <v>30</v>
      </c>
      <c r="E29" s="3" t="s">
        <v>31</v>
      </c>
      <c r="F29" s="3" t="s">
        <v>33</v>
      </c>
      <c r="G29" s="3" t="s">
        <v>34</v>
      </c>
      <c r="H29" s="3" t="s">
        <v>35</v>
      </c>
      <c r="L29" t="s">
        <v>60</v>
      </c>
      <c r="Q29" s="89" t="s">
        <v>66</v>
      </c>
      <c r="R29" s="90"/>
    </row>
    <row r="30" spans="1:21" x14ac:dyDescent="0.25">
      <c r="L30">
        <f>(1*Y5)*POWER(2,12)</f>
        <v>4194304</v>
      </c>
      <c r="M30" t="s">
        <v>41</v>
      </c>
      <c r="N30" t="s">
        <v>61</v>
      </c>
    </row>
    <row r="31" spans="1:21" x14ac:dyDescent="0.25">
      <c r="A31" s="88" t="s">
        <v>26</v>
      </c>
      <c r="B31" s="88"/>
      <c r="D31" s="88" t="s">
        <v>26</v>
      </c>
      <c r="E31" s="88"/>
      <c r="G31" s="88" t="s">
        <v>26</v>
      </c>
      <c r="H31" s="88"/>
    </row>
    <row r="32" spans="1:21" x14ac:dyDescent="0.25">
      <c r="A32" s="5" t="s">
        <v>27</v>
      </c>
      <c r="B32" s="4" t="s">
        <v>28</v>
      </c>
      <c r="C32" s="10" t="s">
        <v>32</v>
      </c>
      <c r="D32" s="5" t="s">
        <v>27</v>
      </c>
      <c r="E32" s="4" t="s">
        <v>28</v>
      </c>
      <c r="F32" s="10" t="s">
        <v>32</v>
      </c>
      <c r="G32" s="5" t="s">
        <v>27</v>
      </c>
      <c r="H32" s="4" t="s">
        <v>28</v>
      </c>
      <c r="K32" s="24" t="s">
        <v>67</v>
      </c>
      <c r="L32" s="24" t="s">
        <v>68</v>
      </c>
      <c r="M32" s="21" t="s">
        <v>70</v>
      </c>
      <c r="N32" s="25"/>
      <c r="O32" s="25"/>
      <c r="P32" s="25"/>
      <c r="Q32" s="25"/>
      <c r="R32" s="26"/>
    </row>
    <row r="33" spans="1:24" x14ac:dyDescent="0.25">
      <c r="A33" s="3">
        <v>9</v>
      </c>
      <c r="B33" s="3" t="s">
        <v>12</v>
      </c>
      <c r="D33" s="3">
        <v>5</v>
      </c>
      <c r="E33" s="3" t="s">
        <v>12</v>
      </c>
      <c r="G33" s="3">
        <v>5</v>
      </c>
      <c r="H33" s="3" t="s">
        <v>12</v>
      </c>
      <c r="L33" s="24" t="s">
        <v>69</v>
      </c>
      <c r="M33" s="24" t="s">
        <v>71</v>
      </c>
      <c r="N33" s="21" t="s">
        <v>75</v>
      </c>
      <c r="O33" s="22"/>
      <c r="P33" s="22"/>
      <c r="Q33" s="22"/>
      <c r="R33" s="22"/>
      <c r="S33" s="22"/>
      <c r="T33" s="22"/>
      <c r="U33" s="22"/>
      <c r="V33" s="23"/>
    </row>
    <row r="34" spans="1:24" x14ac:dyDescent="0.25">
      <c r="G34" s="3">
        <v>7</v>
      </c>
      <c r="H34" s="3" t="s">
        <v>13</v>
      </c>
      <c r="M34" s="24" t="s">
        <v>72</v>
      </c>
      <c r="N34" s="21" t="s">
        <v>74</v>
      </c>
      <c r="O34" s="22"/>
      <c r="P34" s="22"/>
      <c r="Q34" s="22"/>
      <c r="R34" s="22"/>
      <c r="S34" s="22"/>
      <c r="T34" s="22"/>
      <c r="U34" s="22"/>
      <c r="V34" s="22"/>
      <c r="W34" s="23"/>
    </row>
    <row r="35" spans="1:24" x14ac:dyDescent="0.25">
      <c r="C35" s="10" t="s">
        <v>32</v>
      </c>
      <c r="D35" s="88" t="s">
        <v>26</v>
      </c>
      <c r="E35" s="88"/>
      <c r="M35" s="24" t="s">
        <v>73</v>
      </c>
      <c r="N35" s="21" t="s">
        <v>76</v>
      </c>
      <c r="O35" s="22"/>
      <c r="P35" s="22"/>
      <c r="Q35" s="22"/>
      <c r="R35" s="22"/>
      <c r="S35" s="22"/>
      <c r="T35" s="22"/>
      <c r="U35" s="22"/>
      <c r="V35" s="22"/>
      <c r="W35" s="22"/>
      <c r="X35" s="23"/>
    </row>
    <row r="36" spans="1:24" x14ac:dyDescent="0.25">
      <c r="D36" s="5" t="s">
        <v>27</v>
      </c>
      <c r="E36" s="4" t="s">
        <v>28</v>
      </c>
    </row>
    <row r="37" spans="1:24" x14ac:dyDescent="0.25">
      <c r="D37" s="3">
        <v>5</v>
      </c>
      <c r="E37" s="3" t="s">
        <v>12</v>
      </c>
    </row>
    <row r="38" spans="1:24" x14ac:dyDescent="0.25">
      <c r="D38" s="3">
        <v>7</v>
      </c>
      <c r="E38" s="3">
        <v>3254</v>
      </c>
    </row>
  </sheetData>
  <mergeCells count="12">
    <mergeCell ref="D35:E35"/>
    <mergeCell ref="Q29:R29"/>
    <mergeCell ref="A22:A23"/>
    <mergeCell ref="A24:A25"/>
    <mergeCell ref="A31:B31"/>
    <mergeCell ref="D31:E31"/>
    <mergeCell ref="G31:H31"/>
    <mergeCell ref="V2:W2"/>
    <mergeCell ref="U2:U3"/>
    <mergeCell ref="U5:U6"/>
    <mergeCell ref="V5:W5"/>
    <mergeCell ref="X2:X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6B34-07BC-432B-80DE-454DB1128F9F}">
  <dimension ref="A10:U34"/>
  <sheetViews>
    <sheetView workbookViewId="0">
      <selection activeCell="Q32" sqref="Q32"/>
    </sheetView>
  </sheetViews>
  <sheetFormatPr baseColWidth="10" defaultRowHeight="15" x14ac:dyDescent="0.25"/>
  <cols>
    <col min="1" max="1" width="3" style="2" customWidth="1"/>
    <col min="5" max="5" width="12" bestFit="1" customWidth="1"/>
    <col min="8" max="8" width="12.5703125" customWidth="1"/>
    <col min="13" max="13" width="2.140625" style="12" customWidth="1"/>
    <col min="14" max="14" width="2.85546875" style="2" customWidth="1"/>
  </cols>
  <sheetData>
    <row r="10" spans="2:8" x14ac:dyDescent="0.25">
      <c r="B10" s="2" t="s">
        <v>81</v>
      </c>
      <c r="C10">
        <v>4</v>
      </c>
      <c r="D10" t="s">
        <v>3</v>
      </c>
      <c r="E10" s="10" t="s">
        <v>32</v>
      </c>
      <c r="F10">
        <f>POWER(2,12)</f>
        <v>4096</v>
      </c>
      <c r="G10" t="s">
        <v>41</v>
      </c>
    </row>
    <row r="11" spans="2:8" x14ac:dyDescent="0.25">
      <c r="B11" s="2" t="s">
        <v>307</v>
      </c>
      <c r="C11">
        <v>8</v>
      </c>
      <c r="D11" t="s">
        <v>41</v>
      </c>
      <c r="E11" s="10" t="s">
        <v>32</v>
      </c>
      <c r="F11" s="49">
        <f>F10/C11</f>
        <v>512</v>
      </c>
      <c r="G11" s="67" t="s">
        <v>45</v>
      </c>
      <c r="H11" s="17"/>
    </row>
    <row r="12" spans="2:8" x14ac:dyDescent="0.25">
      <c r="B12" s="106" t="s">
        <v>378</v>
      </c>
      <c r="C12" s="106"/>
    </row>
    <row r="13" spans="2:8" x14ac:dyDescent="0.25">
      <c r="B13">
        <v>10</v>
      </c>
      <c r="C13" t="s">
        <v>78</v>
      </c>
    </row>
    <row r="14" spans="2:8" x14ac:dyDescent="0.25">
      <c r="B14">
        <v>1</v>
      </c>
      <c r="C14" t="s">
        <v>79</v>
      </c>
    </row>
    <row r="15" spans="2:8" x14ac:dyDescent="0.25">
      <c r="B15">
        <v>1</v>
      </c>
      <c r="C15" t="s">
        <v>80</v>
      </c>
    </row>
    <row r="17" spans="1:21" x14ac:dyDescent="0.25">
      <c r="B17" s="2" t="s">
        <v>379</v>
      </c>
    </row>
    <row r="18" spans="1:21" x14ac:dyDescent="0.25">
      <c r="B18" s="2" t="s">
        <v>146</v>
      </c>
      <c r="C18" s="24">
        <f>POWER(2,28)</f>
        <v>268435456</v>
      </c>
      <c r="D18" t="s">
        <v>41</v>
      </c>
    </row>
    <row r="19" spans="1:21" x14ac:dyDescent="0.25">
      <c r="B19">
        <v>32</v>
      </c>
      <c r="C19" t="s">
        <v>380</v>
      </c>
    </row>
    <row r="20" spans="1:21" x14ac:dyDescent="0.25">
      <c r="B20" s="2" t="s">
        <v>81</v>
      </c>
      <c r="C20">
        <v>4</v>
      </c>
      <c r="D20" t="s">
        <v>3</v>
      </c>
      <c r="E20" s="10" t="s">
        <v>32</v>
      </c>
      <c r="F20">
        <f>POWER(2,12)</f>
        <v>4096</v>
      </c>
      <c r="G20" t="s">
        <v>41</v>
      </c>
    </row>
    <row r="22" spans="1:21" x14ac:dyDescent="0.25">
      <c r="A22" s="2" t="s">
        <v>50</v>
      </c>
      <c r="B22" t="s">
        <v>52</v>
      </c>
      <c r="N22" s="2" t="s">
        <v>50</v>
      </c>
      <c r="O22" s="2" t="s">
        <v>0</v>
      </c>
      <c r="P22" s="2" t="s">
        <v>387</v>
      </c>
      <c r="Q22" s="72" t="s">
        <v>388</v>
      </c>
      <c r="U22" s="1" t="s">
        <v>392</v>
      </c>
    </row>
    <row r="23" spans="1:21" x14ac:dyDescent="0.25">
      <c r="B23" s="49" t="s">
        <v>51</v>
      </c>
      <c r="C23" s="67"/>
      <c r="D23" s="67"/>
      <c r="E23" s="67">
        <f>(B13+(B14*F11)+(B15*POWER(F11,2)))*F10</f>
        <v>1075879936</v>
      </c>
      <c r="F23" s="67" t="s">
        <v>41</v>
      </c>
      <c r="G23" s="76" t="s">
        <v>32</v>
      </c>
      <c r="H23" s="67">
        <f>E23/POWER(2,30)</f>
        <v>1.0019912719726563</v>
      </c>
      <c r="I23" s="17" t="s">
        <v>55</v>
      </c>
      <c r="O23" s="27" t="s">
        <v>20</v>
      </c>
      <c r="P23" s="28" t="s">
        <v>389</v>
      </c>
    </row>
    <row r="25" spans="1:21" x14ac:dyDescent="0.25">
      <c r="B25" t="s">
        <v>381</v>
      </c>
      <c r="N25" s="2" t="s">
        <v>56</v>
      </c>
      <c r="O25" s="2" t="s">
        <v>0</v>
      </c>
      <c r="P25" s="2" t="s">
        <v>390</v>
      </c>
      <c r="Q25" s="72" t="s">
        <v>391</v>
      </c>
      <c r="U25" s="1" t="s">
        <v>393</v>
      </c>
    </row>
    <row r="26" spans="1:21" x14ac:dyDescent="0.25">
      <c r="B26" s="49" t="s">
        <v>382</v>
      </c>
      <c r="C26" s="67"/>
      <c r="D26" s="67"/>
      <c r="E26" s="67">
        <f>F20*C18</f>
        <v>1099511627776</v>
      </c>
      <c r="F26" s="67" t="s">
        <v>41</v>
      </c>
      <c r="G26" s="76" t="s">
        <v>32</v>
      </c>
      <c r="H26" s="67">
        <f>E26/POWER(2,40)</f>
        <v>1</v>
      </c>
      <c r="I26" s="17" t="s">
        <v>226</v>
      </c>
      <c r="O26" s="27" t="s">
        <v>20</v>
      </c>
      <c r="P26" s="28" t="s">
        <v>398</v>
      </c>
      <c r="U26" s="1" t="s">
        <v>394</v>
      </c>
    </row>
    <row r="27" spans="1:21" x14ac:dyDescent="0.25">
      <c r="U27" s="1" t="s">
        <v>395</v>
      </c>
    </row>
    <row r="28" spans="1:21" x14ac:dyDescent="0.25">
      <c r="B28" s="50" t="s">
        <v>383</v>
      </c>
      <c r="C28" s="79"/>
      <c r="D28" s="79"/>
      <c r="E28" s="79"/>
      <c r="F28" s="79"/>
      <c r="G28" s="79"/>
      <c r="H28" s="79"/>
      <c r="I28" s="51"/>
      <c r="U28" s="1" t="s">
        <v>396</v>
      </c>
    </row>
    <row r="29" spans="1:21" x14ac:dyDescent="0.25">
      <c r="B29" s="73" t="s">
        <v>384</v>
      </c>
      <c r="C29" s="83"/>
      <c r="D29" s="83"/>
      <c r="E29" s="83"/>
      <c r="F29" s="83"/>
      <c r="G29" s="83"/>
      <c r="H29" s="83"/>
      <c r="I29" s="74"/>
      <c r="U29" s="1" t="s">
        <v>397</v>
      </c>
    </row>
    <row r="31" spans="1:21" x14ac:dyDescent="0.25">
      <c r="A31" s="2" t="s">
        <v>56</v>
      </c>
      <c r="B31" s="21" t="s">
        <v>385</v>
      </c>
      <c r="C31" s="22"/>
      <c r="D31" s="22"/>
      <c r="E31" s="22"/>
      <c r="F31" s="22"/>
      <c r="G31" s="22"/>
      <c r="H31" s="23"/>
      <c r="N31" s="2" t="s">
        <v>67</v>
      </c>
      <c r="O31" s="2" t="s">
        <v>0</v>
      </c>
      <c r="P31" s="2" t="s">
        <v>402</v>
      </c>
      <c r="Q31" s="72" t="s">
        <v>403</v>
      </c>
      <c r="U31" s="1" t="s">
        <v>393</v>
      </c>
    </row>
    <row r="32" spans="1:21" x14ac:dyDescent="0.25">
      <c r="A32" s="2" t="s">
        <v>67</v>
      </c>
      <c r="B32" s="21" t="s">
        <v>386</v>
      </c>
      <c r="C32" s="22"/>
      <c r="D32" s="22"/>
      <c r="E32" s="22"/>
      <c r="F32" s="23"/>
      <c r="O32" s="27" t="s">
        <v>20</v>
      </c>
      <c r="P32" s="28" t="s">
        <v>404</v>
      </c>
      <c r="U32" s="1" t="s">
        <v>400</v>
      </c>
    </row>
    <row r="33" spans="21:21" x14ac:dyDescent="0.25">
      <c r="U33" s="1" t="s">
        <v>399</v>
      </c>
    </row>
    <row r="34" spans="21:21" x14ac:dyDescent="0.25">
      <c r="U34" s="1" t="s">
        <v>401</v>
      </c>
    </row>
  </sheetData>
  <mergeCells count="1">
    <mergeCell ref="B12:C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BFA0-E673-40B6-BB6C-776B3F29512E}">
  <dimension ref="A1:Z33"/>
  <sheetViews>
    <sheetView workbookViewId="0">
      <selection activeCell="V34" sqref="V34"/>
    </sheetView>
  </sheetViews>
  <sheetFormatPr baseColWidth="10" defaultRowHeight="15" x14ac:dyDescent="0.25"/>
  <cols>
    <col min="1" max="1" width="3" style="60" customWidth="1"/>
    <col min="2" max="2" width="13" customWidth="1"/>
    <col min="5" max="5" width="12" bestFit="1" customWidth="1"/>
    <col min="8" max="8" width="13" customWidth="1"/>
    <col min="9" max="9" width="8.5703125" customWidth="1"/>
    <col min="10" max="10" width="3.140625" style="60" customWidth="1"/>
    <col min="13" max="13" width="12" bestFit="1" customWidth="1"/>
    <col min="16" max="16" width="2.140625" style="12" customWidth="1"/>
    <col min="25" max="25" width="6.42578125" customWidth="1"/>
    <col min="26" max="26" width="9.5703125" customWidth="1"/>
  </cols>
  <sheetData>
    <row r="1" spans="2:26" ht="30.75" customHeight="1" x14ac:dyDescent="0.25">
      <c r="J1" s="60" t="s">
        <v>420</v>
      </c>
      <c r="K1" s="111" t="s">
        <v>421</v>
      </c>
      <c r="L1" s="112"/>
      <c r="M1" s="113"/>
    </row>
    <row r="2" spans="2:26" ht="92.25" customHeight="1" x14ac:dyDescent="0.25">
      <c r="K2" s="111" t="s">
        <v>422</v>
      </c>
      <c r="L2" s="112"/>
      <c r="M2" s="113"/>
    </row>
    <row r="3" spans="2:26" x14ac:dyDescent="0.25">
      <c r="X3" t="s">
        <v>146</v>
      </c>
      <c r="Y3">
        <v>16</v>
      </c>
      <c r="Z3" t="s">
        <v>1</v>
      </c>
    </row>
    <row r="4" spans="2:26" x14ac:dyDescent="0.25">
      <c r="J4" s="60" t="s">
        <v>50</v>
      </c>
      <c r="K4" t="s">
        <v>423</v>
      </c>
      <c r="X4">
        <v>16</v>
      </c>
      <c r="Y4" t="s">
        <v>427</v>
      </c>
    </row>
    <row r="5" spans="2:26" x14ac:dyDescent="0.25">
      <c r="B5" t="s">
        <v>315</v>
      </c>
      <c r="K5" s="21" t="s">
        <v>424</v>
      </c>
      <c r="L5" s="23"/>
      <c r="X5">
        <v>4</v>
      </c>
      <c r="Y5" t="s">
        <v>428</v>
      </c>
    </row>
    <row r="6" spans="2:26" x14ac:dyDescent="0.25">
      <c r="B6" t="s">
        <v>77</v>
      </c>
      <c r="D6" s="24" t="s">
        <v>316</v>
      </c>
      <c r="E6" t="s">
        <v>41</v>
      </c>
      <c r="F6" s="10" t="s">
        <v>32</v>
      </c>
      <c r="G6">
        <f>POWER(2,28)</f>
        <v>268435456</v>
      </c>
      <c r="H6" t="s">
        <v>41</v>
      </c>
      <c r="K6" t="s">
        <v>425</v>
      </c>
    </row>
    <row r="7" spans="2:26" x14ac:dyDescent="0.25">
      <c r="D7">
        <f>POWER(2,28)</f>
        <v>268435456</v>
      </c>
      <c r="E7" t="s">
        <v>317</v>
      </c>
      <c r="F7" s="10" t="s">
        <v>32</v>
      </c>
      <c r="G7">
        <v>32</v>
      </c>
      <c r="H7" t="s">
        <v>318</v>
      </c>
      <c r="K7" s="107" t="s">
        <v>426</v>
      </c>
      <c r="L7" s="114"/>
      <c r="M7" s="79">
        <f>POWER(2,32)*F9</f>
        <v>4398046511104</v>
      </c>
      <c r="N7" s="51" t="s">
        <v>41</v>
      </c>
    </row>
    <row r="8" spans="2:26" x14ac:dyDescent="0.25">
      <c r="B8" t="s">
        <v>81</v>
      </c>
      <c r="C8">
        <v>1</v>
      </c>
      <c r="D8" t="s">
        <v>3</v>
      </c>
      <c r="E8" s="10" t="s">
        <v>32</v>
      </c>
      <c r="F8" s="24" t="s">
        <v>4</v>
      </c>
      <c r="G8" t="s">
        <v>41</v>
      </c>
      <c r="K8" s="108"/>
      <c r="L8" s="115"/>
      <c r="M8" s="83">
        <f>M7/POWER(2,40)</f>
        <v>4</v>
      </c>
      <c r="N8" s="74" t="s">
        <v>226</v>
      </c>
    </row>
    <row r="9" spans="2:26" x14ac:dyDescent="0.25">
      <c r="F9">
        <f>POWER(2,10)</f>
        <v>1024</v>
      </c>
    </row>
    <row r="10" spans="2:26" x14ac:dyDescent="0.25">
      <c r="B10" t="s">
        <v>405</v>
      </c>
      <c r="C10">
        <v>4</v>
      </c>
      <c r="D10" t="s">
        <v>41</v>
      </c>
    </row>
    <row r="12" spans="2:26" x14ac:dyDescent="0.25">
      <c r="B12" t="s">
        <v>406</v>
      </c>
    </row>
    <row r="13" spans="2:26" x14ac:dyDescent="0.25">
      <c r="B13">
        <f>F9/C10</f>
        <v>256</v>
      </c>
      <c r="C13" t="s">
        <v>45</v>
      </c>
    </row>
    <row r="14" spans="2:26" x14ac:dyDescent="0.25">
      <c r="B14" s="21" t="s">
        <v>407</v>
      </c>
      <c r="C14" s="22"/>
      <c r="D14" s="23">
        <v>4</v>
      </c>
      <c r="E14" t="s">
        <v>409</v>
      </c>
    </row>
    <row r="15" spans="2:26" x14ac:dyDescent="0.25">
      <c r="B15">
        <f>D14*F9</f>
        <v>4096</v>
      </c>
      <c r="C15" t="s">
        <v>41</v>
      </c>
      <c r="Q15" t="s">
        <v>434</v>
      </c>
    </row>
    <row r="16" spans="2:26" x14ac:dyDescent="0.25">
      <c r="B16">
        <f>B15/POWER(2,10)</f>
        <v>4</v>
      </c>
      <c r="C16" t="s">
        <v>3</v>
      </c>
      <c r="Q16" t="s">
        <v>433</v>
      </c>
    </row>
    <row r="17" spans="1:24" x14ac:dyDescent="0.25">
      <c r="B17" s="21" t="s">
        <v>410</v>
      </c>
      <c r="C17" s="22"/>
      <c r="D17" s="22"/>
      <c r="E17" s="23">
        <v>4</v>
      </c>
      <c r="F17" t="s">
        <v>411</v>
      </c>
      <c r="Q17" t="s">
        <v>435</v>
      </c>
      <c r="U17" s="10" t="s">
        <v>32</v>
      </c>
      <c r="V17" s="92" t="s">
        <v>442</v>
      </c>
      <c r="W17" s="93"/>
    </row>
    <row r="18" spans="1:24" x14ac:dyDescent="0.25">
      <c r="B18">
        <f>B15+(E17*B13*F9)</f>
        <v>1052672</v>
      </c>
      <c r="C18" t="s">
        <v>41</v>
      </c>
      <c r="Q18" s="60" t="s">
        <v>429</v>
      </c>
      <c r="R18" s="1" t="s">
        <v>436</v>
      </c>
    </row>
    <row r="19" spans="1:24" x14ac:dyDescent="0.25">
      <c r="B19">
        <f>B18/POWER(2,20)</f>
        <v>1.00390625</v>
      </c>
      <c r="C19" t="s">
        <v>84</v>
      </c>
      <c r="Q19" s="60" t="s">
        <v>430</v>
      </c>
      <c r="R19" s="60" t="s">
        <v>431</v>
      </c>
      <c r="S19" s="10" t="s">
        <v>32</v>
      </c>
      <c r="T19" s="60" t="s">
        <v>432</v>
      </c>
      <c r="U19" s="10" t="s">
        <v>32</v>
      </c>
      <c r="V19" s="57" t="s">
        <v>20</v>
      </c>
      <c r="W19" s="58" t="s">
        <v>437</v>
      </c>
    </row>
    <row r="20" spans="1:24" x14ac:dyDescent="0.25">
      <c r="B20" s="21" t="s">
        <v>412</v>
      </c>
      <c r="C20" s="22"/>
      <c r="D20" s="22"/>
      <c r="E20" s="23">
        <v>1</v>
      </c>
      <c r="F20" t="s">
        <v>413</v>
      </c>
      <c r="Q20" t="s">
        <v>438</v>
      </c>
    </row>
    <row r="21" spans="1:24" x14ac:dyDescent="0.25">
      <c r="B21">
        <f>B15+B18+(E20*POWER(B13,2)*F9)</f>
        <v>68165632</v>
      </c>
      <c r="C21" t="s">
        <v>41</v>
      </c>
    </row>
    <row r="22" spans="1:24" x14ac:dyDescent="0.25">
      <c r="B22">
        <f>B21/POWER(2,20)</f>
        <v>65.0078125</v>
      </c>
      <c r="C22" t="s">
        <v>84</v>
      </c>
      <c r="Q22" s="60" t="s">
        <v>439</v>
      </c>
      <c r="R22" s="1" t="s">
        <v>440</v>
      </c>
    </row>
    <row r="23" spans="1:24" x14ac:dyDescent="0.25">
      <c r="Q23" s="60" t="s">
        <v>441</v>
      </c>
      <c r="R23" s="60" t="s">
        <v>431</v>
      </c>
      <c r="S23" s="10" t="s">
        <v>32</v>
      </c>
      <c r="T23" s="21" t="s">
        <v>443</v>
      </c>
      <c r="U23" s="22"/>
      <c r="V23" s="22"/>
      <c r="W23" s="22"/>
      <c r="X23" s="23"/>
    </row>
    <row r="24" spans="1:24" x14ac:dyDescent="0.25">
      <c r="A24" s="60" t="s">
        <v>56</v>
      </c>
      <c r="B24" t="s">
        <v>52</v>
      </c>
    </row>
    <row r="25" spans="1:24" x14ac:dyDescent="0.25">
      <c r="B25" s="21" t="s">
        <v>267</v>
      </c>
      <c r="C25" s="22"/>
      <c r="D25" s="22"/>
      <c r="E25" s="22">
        <f>(4+(4*B13)+(1*POWER(B13,2)))*F9</f>
        <v>68161536</v>
      </c>
      <c r="F25" s="22" t="s">
        <v>41</v>
      </c>
      <c r="G25" s="71" t="s">
        <v>32</v>
      </c>
      <c r="H25" s="22">
        <f>E25/POWER(2,20)</f>
        <v>65.00390625</v>
      </c>
      <c r="I25" s="23" t="s">
        <v>84</v>
      </c>
      <c r="Q25" s="60" t="s">
        <v>444</v>
      </c>
      <c r="R25" s="1" t="s">
        <v>445</v>
      </c>
    </row>
    <row r="26" spans="1:24" x14ac:dyDescent="0.25">
      <c r="B26" t="s">
        <v>414</v>
      </c>
      <c r="Q26" s="60" t="s">
        <v>441</v>
      </c>
      <c r="R26" s="60" t="s">
        <v>431</v>
      </c>
      <c r="S26" s="10" t="s">
        <v>32</v>
      </c>
      <c r="T26" s="21" t="s">
        <v>446</v>
      </c>
      <c r="U26" s="23"/>
    </row>
    <row r="27" spans="1:24" x14ac:dyDescent="0.25">
      <c r="B27" s="21" t="s">
        <v>267</v>
      </c>
      <c r="C27" s="22"/>
      <c r="D27" s="22"/>
      <c r="E27" s="22">
        <f>G6*F9</f>
        <v>274877906944</v>
      </c>
      <c r="F27" s="22" t="s">
        <v>41</v>
      </c>
      <c r="G27" s="71" t="s">
        <v>32</v>
      </c>
      <c r="H27" s="22">
        <f>E27/POWER(2,30)</f>
        <v>256</v>
      </c>
      <c r="I27" s="23" t="s">
        <v>55</v>
      </c>
    </row>
    <row r="28" spans="1:24" x14ac:dyDescent="0.25">
      <c r="A28" s="60" t="s">
        <v>67</v>
      </c>
      <c r="B28" s="21" t="s">
        <v>415</v>
      </c>
      <c r="C28" s="22"/>
      <c r="D28" s="22">
        <f>F9-1</f>
        <v>1023</v>
      </c>
      <c r="E28" s="23" t="s">
        <v>41</v>
      </c>
      <c r="Q28" s="60" t="s">
        <v>447</v>
      </c>
      <c r="R28" s="1" t="s">
        <v>448</v>
      </c>
    </row>
    <row r="29" spans="1:24" x14ac:dyDescent="0.25">
      <c r="A29" s="60" t="s">
        <v>302</v>
      </c>
      <c r="B29" s="52" t="s">
        <v>416</v>
      </c>
      <c r="F29" t="s">
        <v>418</v>
      </c>
      <c r="Q29" s="60" t="s">
        <v>449</v>
      </c>
      <c r="R29" s="60" t="s">
        <v>431</v>
      </c>
      <c r="S29" s="10" t="s">
        <v>32</v>
      </c>
      <c r="T29" s="60" t="s">
        <v>450</v>
      </c>
      <c r="U29" s="10" t="s">
        <v>32</v>
      </c>
      <c r="V29" s="57" t="s">
        <v>20</v>
      </c>
      <c r="W29" s="58" t="s">
        <v>451</v>
      </c>
    </row>
    <row r="30" spans="1:24" x14ac:dyDescent="0.25">
      <c r="B30" s="21" t="s">
        <v>417</v>
      </c>
      <c r="C30" s="70">
        <f>POWER(2,20)/F9</f>
        <v>1024</v>
      </c>
      <c r="F30" s="21" t="s">
        <v>419</v>
      </c>
      <c r="G30" s="22"/>
      <c r="H30" s="22"/>
      <c r="I30" s="23"/>
    </row>
    <row r="31" spans="1:24" x14ac:dyDescent="0.25">
      <c r="Q31" s="60" t="s">
        <v>452</v>
      </c>
      <c r="R31" s="1" t="s">
        <v>453</v>
      </c>
    </row>
    <row r="32" spans="1:24" x14ac:dyDescent="0.25">
      <c r="Q32" s="60" t="s">
        <v>449</v>
      </c>
      <c r="R32" s="60" t="s">
        <v>431</v>
      </c>
      <c r="S32" s="10" t="s">
        <v>32</v>
      </c>
      <c r="T32" s="60" t="s">
        <v>450</v>
      </c>
      <c r="U32" s="10" t="s">
        <v>32</v>
      </c>
      <c r="V32" s="116" t="s">
        <v>455</v>
      </c>
      <c r="W32" s="22"/>
      <c r="X32" s="23"/>
    </row>
    <row r="33" spans="20:20" x14ac:dyDescent="0.25">
      <c r="T33" s="60" t="s">
        <v>454</v>
      </c>
    </row>
  </sheetData>
  <mergeCells count="4">
    <mergeCell ref="K1:M1"/>
    <mergeCell ref="K2:M2"/>
    <mergeCell ref="K7:L8"/>
    <mergeCell ref="V17:W17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00EF-23F5-47A2-92AA-E65A3F69B933}">
  <dimension ref="A1:Y32"/>
  <sheetViews>
    <sheetView workbookViewId="0">
      <selection activeCell="B23" sqref="B23"/>
    </sheetView>
  </sheetViews>
  <sheetFormatPr baseColWidth="10" defaultRowHeight="15" x14ac:dyDescent="0.25"/>
  <cols>
    <col min="2" max="2" width="13" customWidth="1"/>
    <col min="3" max="3" width="12" bestFit="1" customWidth="1"/>
    <col min="5" max="5" width="12" bestFit="1" customWidth="1"/>
    <col min="7" max="7" width="12.85546875" customWidth="1"/>
    <col min="9" max="9" width="2.28515625" style="12" customWidth="1"/>
    <col min="17" max="17" width="2.140625" style="60" customWidth="1"/>
    <col min="18" max="18" width="2.28515625" style="60" customWidth="1"/>
    <col min="24" max="24" width="12" bestFit="1" customWidth="1"/>
  </cols>
  <sheetData>
    <row r="1" spans="1:25" x14ac:dyDescent="0.25">
      <c r="Q1" s="60" t="s">
        <v>50</v>
      </c>
      <c r="R1" s="60" t="s">
        <v>89</v>
      </c>
      <c r="S1" t="s">
        <v>467</v>
      </c>
    </row>
    <row r="2" spans="1:25" x14ac:dyDescent="0.25">
      <c r="S2" t="s">
        <v>468</v>
      </c>
    </row>
    <row r="3" spans="1:25" x14ac:dyDescent="0.25">
      <c r="S3" s="49" t="s">
        <v>469</v>
      </c>
      <c r="T3" s="67"/>
      <c r="U3" s="67">
        <f>N30/1024</f>
        <v>1048576</v>
      </c>
      <c r="V3" s="67" t="s">
        <v>41</v>
      </c>
      <c r="W3" s="76" t="s">
        <v>32</v>
      </c>
      <c r="X3" s="67">
        <f>U3/POWER(2,20)</f>
        <v>1</v>
      </c>
      <c r="Y3" s="17" t="s">
        <v>84</v>
      </c>
    </row>
    <row r="4" spans="1:25" x14ac:dyDescent="0.25">
      <c r="S4" s="35" t="s">
        <v>470</v>
      </c>
    </row>
    <row r="5" spans="1:25" x14ac:dyDescent="0.25">
      <c r="S5" s="21" t="s">
        <v>471</v>
      </c>
      <c r="T5" s="23">
        <f>POWER(2,12)</f>
        <v>4096</v>
      </c>
    </row>
    <row r="6" spans="1:25" x14ac:dyDescent="0.25">
      <c r="R6" s="60" t="s">
        <v>97</v>
      </c>
      <c r="S6" s="35" t="s">
        <v>472</v>
      </c>
    </row>
    <row r="7" spans="1:25" x14ac:dyDescent="0.25">
      <c r="S7" s="130" t="s">
        <v>473</v>
      </c>
      <c r="T7" s="117"/>
      <c r="U7" s="117"/>
      <c r="V7" s="118"/>
    </row>
    <row r="8" spans="1:25" x14ac:dyDescent="0.25">
      <c r="S8" s="107" t="s">
        <v>474</v>
      </c>
      <c r="T8" s="114"/>
      <c r="U8" s="114"/>
      <c r="V8" s="79">
        <f>(POWER(2,20)/2)*1024</f>
        <v>536870912</v>
      </c>
      <c r="W8" s="51" t="s">
        <v>41</v>
      </c>
    </row>
    <row r="9" spans="1:25" x14ac:dyDescent="0.25">
      <c r="S9" s="108"/>
      <c r="T9" s="115"/>
      <c r="U9" s="115"/>
      <c r="V9" s="83">
        <f>V8/POWER(2,20)</f>
        <v>512</v>
      </c>
      <c r="W9" s="74" t="s">
        <v>84</v>
      </c>
    </row>
    <row r="11" spans="1:25" x14ac:dyDescent="0.25">
      <c r="Q11" s="60" t="s">
        <v>56</v>
      </c>
      <c r="R11" s="60" t="s">
        <v>89</v>
      </c>
      <c r="S11" s="60" t="s">
        <v>0</v>
      </c>
      <c r="T11" s="10" t="s">
        <v>475</v>
      </c>
      <c r="U11" s="72" t="s">
        <v>477</v>
      </c>
      <c r="Y11" s="60" t="s">
        <v>479</v>
      </c>
    </row>
    <row r="12" spans="1:25" x14ac:dyDescent="0.25">
      <c r="S12" s="60" t="s">
        <v>0</v>
      </c>
      <c r="T12" s="10" t="s">
        <v>476</v>
      </c>
      <c r="U12" s="1" t="s">
        <v>478</v>
      </c>
      <c r="Y12" s="60" t="s">
        <v>481</v>
      </c>
    </row>
    <row r="13" spans="1:25" x14ac:dyDescent="0.25">
      <c r="A13" t="s">
        <v>307</v>
      </c>
      <c r="B13">
        <v>4</v>
      </c>
      <c r="C13" t="s">
        <v>41</v>
      </c>
    </row>
    <row r="14" spans="1:25" ht="27" customHeight="1" x14ac:dyDescent="0.25">
      <c r="A14" t="s">
        <v>81</v>
      </c>
      <c r="B14">
        <v>1</v>
      </c>
      <c r="C14" t="s">
        <v>3</v>
      </c>
      <c r="D14" s="10" t="s">
        <v>32</v>
      </c>
      <c r="E14">
        <f>POWER(2,10)</f>
        <v>1024</v>
      </c>
      <c r="F14" t="s">
        <v>41</v>
      </c>
      <c r="S14" s="103" t="s">
        <v>482</v>
      </c>
      <c r="T14" s="104"/>
      <c r="U14" s="104"/>
      <c r="V14" s="104"/>
      <c r="W14" s="104"/>
      <c r="X14" s="104"/>
      <c r="Y14" s="105"/>
    </row>
    <row r="15" spans="1:25" x14ac:dyDescent="0.25">
      <c r="A15">
        <f>E14/B13</f>
        <v>256</v>
      </c>
      <c r="B15" t="s">
        <v>45</v>
      </c>
      <c r="S15" s="134" t="s">
        <v>483</v>
      </c>
      <c r="T15" s="135"/>
      <c r="U15" s="135"/>
      <c r="V15" s="135"/>
      <c r="W15" s="135"/>
      <c r="X15" s="135"/>
      <c r="Y15" s="136"/>
    </row>
    <row r="16" spans="1:25" ht="27.75" customHeight="1" x14ac:dyDescent="0.25">
      <c r="A16" s="60" t="s">
        <v>315</v>
      </c>
      <c r="S16" s="103" t="s">
        <v>484</v>
      </c>
      <c r="T16" s="104"/>
      <c r="U16" s="104"/>
      <c r="V16" s="104"/>
      <c r="W16" s="104"/>
      <c r="X16" s="104"/>
      <c r="Y16" s="105"/>
    </row>
    <row r="17" spans="1:25" ht="30.75" customHeight="1" x14ac:dyDescent="0.25">
      <c r="A17" t="s">
        <v>81</v>
      </c>
      <c r="B17">
        <v>1</v>
      </c>
      <c r="C17" t="s">
        <v>3</v>
      </c>
      <c r="D17" s="10" t="s">
        <v>32</v>
      </c>
      <c r="E17">
        <f>POWER(2,10)</f>
        <v>1024</v>
      </c>
      <c r="F17" t="s">
        <v>41</v>
      </c>
      <c r="S17" s="131" t="s">
        <v>485</v>
      </c>
      <c r="T17" s="132"/>
      <c r="U17" s="132"/>
      <c r="V17" s="132"/>
      <c r="W17" s="132"/>
      <c r="X17" s="132"/>
      <c r="Y17" s="133"/>
    </row>
    <row r="19" spans="1:25" x14ac:dyDescent="0.25">
      <c r="A19" s="24" t="s">
        <v>50</v>
      </c>
      <c r="B19" t="s">
        <v>460</v>
      </c>
      <c r="R19" s="60" t="s">
        <v>97</v>
      </c>
      <c r="S19" s="59" t="s">
        <v>28</v>
      </c>
      <c r="T19" s="59" t="s">
        <v>27</v>
      </c>
    </row>
    <row r="20" spans="1:25" x14ac:dyDescent="0.25">
      <c r="B20" s="107" t="s">
        <v>426</v>
      </c>
      <c r="C20" s="79">
        <f>POWER(2,32)*E14</f>
        <v>4398046511104</v>
      </c>
      <c r="D20" s="51" t="s">
        <v>41</v>
      </c>
      <c r="F20" s="21" t="s">
        <v>461</v>
      </c>
      <c r="G20" s="23"/>
      <c r="S20" s="3">
        <v>11</v>
      </c>
      <c r="T20" s="3">
        <v>20</v>
      </c>
    </row>
    <row r="21" spans="1:25" x14ac:dyDescent="0.25">
      <c r="B21" s="108"/>
      <c r="C21" s="83">
        <f>C20/POWER(2,40)</f>
        <v>4</v>
      </c>
      <c r="D21" s="74" t="s">
        <v>226</v>
      </c>
      <c r="S21" s="3">
        <v>2</v>
      </c>
      <c r="T21" s="3">
        <v>7</v>
      </c>
    </row>
    <row r="23" spans="1:25" x14ac:dyDescent="0.25">
      <c r="A23" s="24" t="s">
        <v>56</v>
      </c>
      <c r="B23" t="s">
        <v>456</v>
      </c>
    </row>
    <row r="24" spans="1:25" x14ac:dyDescent="0.25">
      <c r="B24" s="119" t="s">
        <v>457</v>
      </c>
      <c r="C24" s="120"/>
      <c r="D24" s="120"/>
      <c r="E24" s="121">
        <f>(10+(1*A15)+(1*POWER(A15,2))+(1*POWER(A15,3)))*E14</f>
        <v>17247250432</v>
      </c>
      <c r="F24" s="122" t="s">
        <v>41</v>
      </c>
      <c r="G24" s="1"/>
    </row>
    <row r="25" spans="1:25" x14ac:dyDescent="0.25">
      <c r="B25" s="123"/>
      <c r="C25" s="124"/>
      <c r="D25" s="124"/>
      <c r="E25" s="125">
        <f>E24/POWER(2,30)</f>
        <v>16.062753677368164</v>
      </c>
      <c r="F25" s="126" t="s">
        <v>55</v>
      </c>
    </row>
    <row r="26" spans="1:25" x14ac:dyDescent="0.25">
      <c r="B26" s="127" t="s">
        <v>458</v>
      </c>
      <c r="C26" s="128"/>
      <c r="D26" s="128"/>
      <c r="E26" s="128"/>
      <c r="F26" s="128"/>
      <c r="G26" s="129"/>
    </row>
    <row r="27" spans="1:25" x14ac:dyDescent="0.25">
      <c r="B27" s="21" t="s">
        <v>459</v>
      </c>
      <c r="C27" s="22"/>
      <c r="D27" s="22"/>
      <c r="E27" s="22"/>
      <c r="F27" s="22"/>
      <c r="G27" s="23"/>
    </row>
    <row r="28" spans="1:25" x14ac:dyDescent="0.25">
      <c r="J28" t="s">
        <v>146</v>
      </c>
      <c r="K28">
        <v>32</v>
      </c>
      <c r="L28" t="s">
        <v>1</v>
      </c>
    </row>
    <row r="29" spans="1:25" x14ac:dyDescent="0.25">
      <c r="A29" s="24" t="s">
        <v>67</v>
      </c>
      <c r="B29" s="21" t="s">
        <v>462</v>
      </c>
      <c r="C29" s="22"/>
      <c r="D29" s="22"/>
      <c r="E29" s="22"/>
      <c r="F29" s="22"/>
      <c r="G29" s="23"/>
      <c r="J29">
        <v>1024</v>
      </c>
      <c r="K29" t="s">
        <v>465</v>
      </c>
    </row>
    <row r="30" spans="1:25" x14ac:dyDescent="0.25">
      <c r="J30" t="s">
        <v>276</v>
      </c>
      <c r="K30">
        <v>1</v>
      </c>
      <c r="L30" t="s">
        <v>55</v>
      </c>
      <c r="M30" s="10" t="s">
        <v>32</v>
      </c>
      <c r="N30">
        <f>POWER(2,30)</f>
        <v>1073741824</v>
      </c>
      <c r="O30" t="s">
        <v>41</v>
      </c>
    </row>
    <row r="31" spans="1:25" x14ac:dyDescent="0.25">
      <c r="A31" s="24" t="s">
        <v>302</v>
      </c>
      <c r="B31" t="s">
        <v>463</v>
      </c>
      <c r="J31">
        <v>4</v>
      </c>
      <c r="K31" t="s">
        <v>466</v>
      </c>
    </row>
    <row r="32" spans="1:25" x14ac:dyDescent="0.25">
      <c r="B32" s="21" t="s">
        <v>464</v>
      </c>
      <c r="C32" s="22"/>
      <c r="D32" s="77">
        <f>(32*POWER(2,30))/E17</f>
        <v>33554432</v>
      </c>
    </row>
  </sheetData>
  <mergeCells count="7">
    <mergeCell ref="B24:D25"/>
    <mergeCell ref="B20:B21"/>
    <mergeCell ref="S8:U9"/>
    <mergeCell ref="S16:Y16"/>
    <mergeCell ref="S17:Y17"/>
    <mergeCell ref="S14:Y14"/>
    <mergeCell ref="S15:Y1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5E35-2252-45A8-A916-4D873186236A}">
  <dimension ref="A1:W33"/>
  <sheetViews>
    <sheetView tabSelected="1" workbookViewId="0">
      <selection activeCell="Q33" sqref="Q33"/>
    </sheetView>
  </sheetViews>
  <sheetFormatPr baseColWidth="10" defaultRowHeight="15" x14ac:dyDescent="0.25"/>
  <cols>
    <col min="2" max="2" width="12" bestFit="1" customWidth="1"/>
    <col min="3" max="3" width="11" customWidth="1"/>
    <col min="4" max="4" width="12" bestFit="1" customWidth="1"/>
    <col min="9" max="9" width="12" customWidth="1"/>
    <col min="10" max="10" width="2.42578125" style="12" customWidth="1"/>
  </cols>
  <sheetData>
    <row r="1" spans="1:23" x14ac:dyDescent="0.25">
      <c r="R1" s="60" t="s">
        <v>495</v>
      </c>
      <c r="S1">
        <v>4</v>
      </c>
      <c r="T1" t="s">
        <v>3</v>
      </c>
      <c r="U1" s="10" t="s">
        <v>32</v>
      </c>
      <c r="V1">
        <f>POWER(2,12)</f>
        <v>4096</v>
      </c>
      <c r="W1" t="s">
        <v>41</v>
      </c>
    </row>
    <row r="2" spans="1:23" x14ac:dyDescent="0.25">
      <c r="R2" s="60" t="s">
        <v>287</v>
      </c>
      <c r="S2">
        <v>4</v>
      </c>
      <c r="T2" t="s">
        <v>3</v>
      </c>
      <c r="U2" s="10" t="s">
        <v>32</v>
      </c>
      <c r="V2">
        <f>POWER(2,12)</f>
        <v>4096</v>
      </c>
      <c r="W2" t="s">
        <v>41</v>
      </c>
    </row>
    <row r="3" spans="1:23" x14ac:dyDescent="0.25">
      <c r="R3" s="60" t="s">
        <v>276</v>
      </c>
      <c r="S3">
        <v>64</v>
      </c>
      <c r="T3" t="s">
        <v>3</v>
      </c>
      <c r="U3" s="10" t="s">
        <v>32</v>
      </c>
      <c r="V3">
        <f>POWER(2,16)</f>
        <v>65536</v>
      </c>
      <c r="W3" t="s">
        <v>41</v>
      </c>
    </row>
    <row r="4" spans="1:23" x14ac:dyDescent="0.25">
      <c r="S4" s="49">
        <f>S3/S2</f>
        <v>16</v>
      </c>
      <c r="T4" s="67" t="s">
        <v>498</v>
      </c>
      <c r="U4" s="17"/>
    </row>
    <row r="6" spans="1:23" x14ac:dyDescent="0.25">
      <c r="R6" s="139" t="s">
        <v>499</v>
      </c>
    </row>
    <row r="8" spans="1:23" x14ac:dyDescent="0.25">
      <c r="H8" t="s">
        <v>486</v>
      </c>
      <c r="R8" s="30" t="s">
        <v>500</v>
      </c>
    </row>
    <row r="9" spans="1:23" x14ac:dyDescent="0.25">
      <c r="A9" t="s">
        <v>307</v>
      </c>
      <c r="B9">
        <v>4</v>
      </c>
      <c r="C9" t="s">
        <v>41</v>
      </c>
      <c r="D9" s="10" t="s">
        <v>32</v>
      </c>
      <c r="E9">
        <v>32</v>
      </c>
      <c r="F9" t="s">
        <v>1</v>
      </c>
      <c r="H9" s="49" t="s">
        <v>487</v>
      </c>
      <c r="I9" s="17"/>
      <c r="R9" s="30" t="s">
        <v>501</v>
      </c>
    </row>
    <row r="10" spans="1:23" x14ac:dyDescent="0.25">
      <c r="R10" s="30" t="s">
        <v>502</v>
      </c>
    </row>
    <row r="11" spans="1:23" x14ac:dyDescent="0.25">
      <c r="A11" s="24" t="s">
        <v>50</v>
      </c>
      <c r="B11" t="s">
        <v>456</v>
      </c>
    </row>
    <row r="12" spans="1:23" x14ac:dyDescent="0.25">
      <c r="B12" t="s">
        <v>488</v>
      </c>
      <c r="R12" s="3" t="s">
        <v>496</v>
      </c>
    </row>
    <row r="13" spans="1:23" x14ac:dyDescent="0.25">
      <c r="B13" s="49" t="s">
        <v>489</v>
      </c>
      <c r="C13" s="67"/>
      <c r="D13" s="67"/>
      <c r="E13" s="67"/>
      <c r="F13" s="67"/>
      <c r="G13" s="17"/>
      <c r="R13" s="60" t="s">
        <v>497</v>
      </c>
      <c r="S13" s="1" t="s">
        <v>503</v>
      </c>
    </row>
    <row r="14" spans="1:23" x14ac:dyDescent="0.25">
      <c r="B14" s="35" t="s">
        <v>490</v>
      </c>
      <c r="R14" t="s">
        <v>430</v>
      </c>
      <c r="S14" s="60" t="s">
        <v>184</v>
      </c>
      <c r="T14" s="10" t="s">
        <v>32</v>
      </c>
      <c r="U14" s="59" t="s">
        <v>504</v>
      </c>
    </row>
    <row r="15" spans="1:23" x14ac:dyDescent="0.25">
      <c r="B15" s="35" t="s">
        <v>491</v>
      </c>
      <c r="R15" s="60" t="s">
        <v>505</v>
      </c>
      <c r="S15" s="1" t="s">
        <v>506</v>
      </c>
    </row>
    <row r="16" spans="1:23" x14ac:dyDescent="0.25">
      <c r="B16">
        <f>SQRT(SQRT((POWER(2,34)*64)))</f>
        <v>1024</v>
      </c>
      <c r="C16" s="1" t="s">
        <v>492</v>
      </c>
      <c r="R16" s="44" t="s">
        <v>430</v>
      </c>
      <c r="S16" s="60" t="s">
        <v>480</v>
      </c>
      <c r="T16" s="10" t="s">
        <v>32</v>
      </c>
      <c r="U16" t="s">
        <v>510</v>
      </c>
    </row>
    <row r="17" spans="1:21" x14ac:dyDescent="0.25">
      <c r="B17" s="137" t="s">
        <v>408</v>
      </c>
      <c r="C17" s="138" t="s">
        <v>492</v>
      </c>
      <c r="R17" s="44" t="s">
        <v>507</v>
      </c>
      <c r="S17" s="1" t="s">
        <v>508</v>
      </c>
      <c r="U17" s="59" t="s">
        <v>509</v>
      </c>
    </row>
    <row r="18" spans="1:21" x14ac:dyDescent="0.25">
      <c r="R18" s="44" t="s">
        <v>441</v>
      </c>
      <c r="S18" s="60" t="s">
        <v>480</v>
      </c>
      <c r="T18" s="10" t="s">
        <v>32</v>
      </c>
      <c r="U18" t="s">
        <v>511</v>
      </c>
    </row>
    <row r="19" spans="1:21" x14ac:dyDescent="0.25">
      <c r="A19" s="24" t="s">
        <v>56</v>
      </c>
      <c r="B19" t="s">
        <v>493</v>
      </c>
      <c r="U19" s="59" t="s">
        <v>512</v>
      </c>
    </row>
    <row r="20" spans="1:21" x14ac:dyDescent="0.25">
      <c r="B20" s="21" t="s">
        <v>494</v>
      </c>
      <c r="C20" s="22"/>
      <c r="D20" s="22">
        <f>POWER(2,10)*POWER(2,32)</f>
        <v>4398046511104</v>
      </c>
      <c r="E20" s="22" t="s">
        <v>41</v>
      </c>
      <c r="F20" s="71" t="s">
        <v>32</v>
      </c>
      <c r="G20" s="22">
        <f>D20/POWER(2,40)</f>
        <v>4</v>
      </c>
      <c r="H20" s="23" t="s">
        <v>226</v>
      </c>
      <c r="R20" s="3" t="s">
        <v>513</v>
      </c>
    </row>
    <row r="21" spans="1:21" x14ac:dyDescent="0.25">
      <c r="K21" s="94" t="s">
        <v>526</v>
      </c>
      <c r="L21" s="94"/>
      <c r="M21" s="94"/>
      <c r="N21" s="94" t="s">
        <v>527</v>
      </c>
      <c r="O21" s="94"/>
      <c r="P21" s="94"/>
      <c r="R21" s="60" t="s">
        <v>514</v>
      </c>
      <c r="S21" s="1" t="s">
        <v>519</v>
      </c>
    </row>
    <row r="22" spans="1:21" x14ac:dyDescent="0.25">
      <c r="K22" s="3">
        <v>0</v>
      </c>
      <c r="L22" s="3">
        <v>0</v>
      </c>
      <c r="M22" s="3">
        <v>1</v>
      </c>
      <c r="N22" s="41" t="s">
        <v>531</v>
      </c>
      <c r="O22" s="3">
        <v>1</v>
      </c>
      <c r="P22" s="3">
        <v>0</v>
      </c>
      <c r="R22" s="44" t="s">
        <v>449</v>
      </c>
      <c r="S22" s="60" t="s">
        <v>481</v>
      </c>
      <c r="T22" s="10" t="s">
        <v>32</v>
      </c>
      <c r="U22" t="s">
        <v>520</v>
      </c>
    </row>
    <row r="23" spans="1:21" x14ac:dyDescent="0.25">
      <c r="K23" s="3">
        <v>7</v>
      </c>
      <c r="L23" s="3">
        <v>1</v>
      </c>
      <c r="M23" s="3">
        <v>1</v>
      </c>
      <c r="N23" s="3">
        <v>11</v>
      </c>
      <c r="O23" s="3">
        <v>1</v>
      </c>
      <c r="P23" s="3">
        <v>1</v>
      </c>
      <c r="R23" s="60" t="s">
        <v>515</v>
      </c>
      <c r="S23" s="1" t="s">
        <v>518</v>
      </c>
      <c r="U23" s="59" t="s">
        <v>521</v>
      </c>
    </row>
    <row r="24" spans="1:21" x14ac:dyDescent="0.25">
      <c r="K24" s="3">
        <v>0</v>
      </c>
      <c r="L24" s="3">
        <v>1</v>
      </c>
      <c r="M24" s="3">
        <v>1</v>
      </c>
      <c r="N24" s="3">
        <v>2</v>
      </c>
      <c r="O24" s="3">
        <v>1</v>
      </c>
      <c r="P24" s="3">
        <v>1</v>
      </c>
      <c r="R24" s="44" t="s">
        <v>441</v>
      </c>
      <c r="S24" s="60" t="s">
        <v>431</v>
      </c>
      <c r="T24" s="10" t="s">
        <v>32</v>
      </c>
      <c r="U24" t="s">
        <v>522</v>
      </c>
    </row>
    <row r="25" spans="1:21" x14ac:dyDescent="0.25">
      <c r="K25" s="3">
        <v>10</v>
      </c>
      <c r="L25" s="3">
        <v>1</v>
      </c>
      <c r="M25" s="3">
        <v>0</v>
      </c>
      <c r="N25" s="3">
        <v>11</v>
      </c>
      <c r="O25" s="3">
        <v>0</v>
      </c>
      <c r="P25" s="3">
        <v>0</v>
      </c>
      <c r="R25" s="60" t="s">
        <v>516</v>
      </c>
      <c r="S25" s="1" t="s">
        <v>517</v>
      </c>
      <c r="U25" s="59" t="s">
        <v>523</v>
      </c>
    </row>
    <row r="26" spans="1:21" x14ac:dyDescent="0.25">
      <c r="R26" s="60" t="s">
        <v>430</v>
      </c>
      <c r="S26" s="60" t="s">
        <v>184</v>
      </c>
      <c r="T26" s="10" t="s">
        <v>32</v>
      </c>
      <c r="U26" t="s">
        <v>524</v>
      </c>
    </row>
    <row r="27" spans="1:21" x14ac:dyDescent="0.25">
      <c r="U27" s="59" t="s">
        <v>525</v>
      </c>
    </row>
    <row r="29" spans="1:21" x14ac:dyDescent="0.25">
      <c r="K29" s="94" t="s">
        <v>528</v>
      </c>
      <c r="L29" s="94"/>
      <c r="M29" s="94"/>
      <c r="N29" s="94" t="s">
        <v>529</v>
      </c>
      <c r="O29" s="94"/>
      <c r="P29" s="94"/>
      <c r="Q29" s="94" t="s">
        <v>530</v>
      </c>
      <c r="R29" s="94"/>
      <c r="S29" s="94"/>
    </row>
    <row r="30" spans="1:21" x14ac:dyDescent="0.25">
      <c r="K30" s="3">
        <v>1</v>
      </c>
      <c r="L30" s="3">
        <v>1</v>
      </c>
      <c r="M30" s="3">
        <v>0</v>
      </c>
      <c r="N30" s="3">
        <v>4</v>
      </c>
      <c r="O30" s="3">
        <v>1</v>
      </c>
      <c r="P30" s="3">
        <v>1</v>
      </c>
      <c r="Q30" s="3">
        <v>14</v>
      </c>
      <c r="R30" s="3">
        <v>1</v>
      </c>
      <c r="S30" s="3">
        <v>0</v>
      </c>
    </row>
    <row r="31" spans="1:21" x14ac:dyDescent="0.25">
      <c r="K31" s="3">
        <v>4</v>
      </c>
      <c r="L31" s="3">
        <v>0</v>
      </c>
      <c r="M31" s="3">
        <v>0</v>
      </c>
      <c r="N31" s="3">
        <v>3</v>
      </c>
      <c r="O31" s="3">
        <v>1</v>
      </c>
      <c r="P31" s="3">
        <v>0</v>
      </c>
      <c r="Q31" s="3">
        <v>13</v>
      </c>
      <c r="R31" s="3">
        <v>1</v>
      </c>
      <c r="S31" s="3">
        <v>1</v>
      </c>
    </row>
    <row r="32" spans="1:21" x14ac:dyDescent="0.25">
      <c r="K32" s="3">
        <v>6</v>
      </c>
      <c r="L32" s="3">
        <v>1</v>
      </c>
      <c r="M32" s="3">
        <v>0</v>
      </c>
      <c r="N32" s="3">
        <v>5</v>
      </c>
      <c r="O32" s="3">
        <v>1</v>
      </c>
      <c r="P32" s="3">
        <v>0</v>
      </c>
      <c r="Q32" s="3">
        <v>15</v>
      </c>
      <c r="R32" s="3">
        <v>1</v>
      </c>
      <c r="S32" s="3">
        <v>1</v>
      </c>
    </row>
    <row r="33" spans="11:19" x14ac:dyDescent="0.25">
      <c r="K33" s="3">
        <v>8</v>
      </c>
      <c r="L33" s="3">
        <v>1</v>
      </c>
      <c r="M33" s="3">
        <v>1</v>
      </c>
      <c r="N33" s="3">
        <v>8</v>
      </c>
      <c r="O33" s="3">
        <v>0</v>
      </c>
      <c r="P33" s="3">
        <v>0</v>
      </c>
      <c r="Q33" s="41" t="s">
        <v>532</v>
      </c>
      <c r="R33" s="3">
        <v>1</v>
      </c>
      <c r="S33" s="3">
        <v>0</v>
      </c>
    </row>
  </sheetData>
  <mergeCells count="5">
    <mergeCell ref="K21:M21"/>
    <mergeCell ref="N21:P21"/>
    <mergeCell ref="K29:M29"/>
    <mergeCell ref="N29:P29"/>
    <mergeCell ref="Q29:S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F188-D8BC-4DE4-AF70-C8493314815D}">
  <dimension ref="A12:AF38"/>
  <sheetViews>
    <sheetView topLeftCell="A4" workbookViewId="0">
      <selection activeCell="AG32" sqref="AG32"/>
    </sheetView>
  </sheetViews>
  <sheetFormatPr baseColWidth="10" defaultRowHeight="15" x14ac:dyDescent="0.25"/>
  <cols>
    <col min="1" max="1" width="7.7109375" customWidth="1"/>
    <col min="2" max="2" width="8.28515625" customWidth="1"/>
    <col min="3" max="3" width="11" customWidth="1"/>
    <col min="10" max="10" width="9.5703125" customWidth="1"/>
    <col min="11" max="11" width="3.42578125" customWidth="1"/>
    <col min="12" max="12" width="5.28515625" customWidth="1"/>
    <col min="13" max="13" width="4.28515625" customWidth="1"/>
    <col min="14" max="14" width="5.5703125" customWidth="1"/>
    <col min="15" max="15" width="6.140625" customWidth="1"/>
    <col min="16" max="16" width="5.5703125" customWidth="1"/>
    <col min="17" max="17" width="5.7109375" customWidth="1"/>
    <col min="18" max="18" width="5.5703125" customWidth="1"/>
    <col min="19" max="19" width="6.28515625" customWidth="1"/>
    <col min="20" max="20" width="6" customWidth="1"/>
    <col min="21" max="21" width="1.85546875" style="12" customWidth="1"/>
    <col min="22" max="22" width="3.7109375" style="2" customWidth="1"/>
    <col min="23" max="23" width="16.42578125" customWidth="1"/>
    <col min="24" max="24" width="10" customWidth="1"/>
    <col min="25" max="25" width="8.140625" customWidth="1"/>
    <col min="26" max="26" width="7" customWidth="1"/>
    <col min="27" max="27" width="7.42578125" customWidth="1"/>
    <col min="28" max="28" width="7" customWidth="1"/>
    <col min="29" max="29" width="6.42578125" customWidth="1"/>
    <col min="30" max="31" width="7.42578125" customWidth="1"/>
    <col min="32" max="32" width="7.7109375" customWidth="1"/>
  </cols>
  <sheetData>
    <row r="12" spans="1:8" x14ac:dyDescent="0.25">
      <c r="A12" t="s">
        <v>77</v>
      </c>
      <c r="C12">
        <v>32</v>
      </c>
      <c r="D12" t="s">
        <v>1</v>
      </c>
      <c r="E12" s="10" t="s">
        <v>32</v>
      </c>
      <c r="F12" t="s">
        <v>82</v>
      </c>
      <c r="G12">
        <v>4</v>
      </c>
      <c r="H12" t="s">
        <v>41</v>
      </c>
    </row>
    <row r="14" spans="1:8" x14ac:dyDescent="0.25">
      <c r="A14" s="92" t="s">
        <v>46</v>
      </c>
      <c r="B14" s="93"/>
      <c r="F14" s="92" t="s">
        <v>83</v>
      </c>
      <c r="G14" s="93"/>
      <c r="H14" s="3">
        <f>B21/G12</f>
        <v>256</v>
      </c>
    </row>
    <row r="15" spans="1:8" x14ac:dyDescent="0.25">
      <c r="A15" s="3" t="s">
        <v>78</v>
      </c>
      <c r="B15" s="3">
        <v>10</v>
      </c>
    </row>
    <row r="16" spans="1:8" x14ac:dyDescent="0.25">
      <c r="A16" s="3" t="s">
        <v>79</v>
      </c>
      <c r="B16" s="3">
        <v>2</v>
      </c>
    </row>
    <row r="17" spans="1:32" x14ac:dyDescent="0.25">
      <c r="A17" s="3" t="s">
        <v>80</v>
      </c>
      <c r="B17" s="3">
        <v>1</v>
      </c>
    </row>
    <row r="19" spans="1:32" x14ac:dyDescent="0.25">
      <c r="A19" s="2" t="s">
        <v>81</v>
      </c>
      <c r="B19" s="2">
        <v>1</v>
      </c>
      <c r="C19" s="2" t="s">
        <v>3</v>
      </c>
    </row>
    <row r="20" spans="1:32" x14ac:dyDescent="0.25">
      <c r="A20" s="2"/>
      <c r="B20" s="2" t="s">
        <v>4</v>
      </c>
      <c r="C20" s="2" t="s">
        <v>41</v>
      </c>
    </row>
    <row r="21" spans="1:32" x14ac:dyDescent="0.25">
      <c r="B21" s="2">
        <f>POWER(2,10)</f>
        <v>1024</v>
      </c>
    </row>
    <row r="23" spans="1:32" x14ac:dyDescent="0.25">
      <c r="A23" s="24" t="s">
        <v>50</v>
      </c>
      <c r="B23" t="s">
        <v>52</v>
      </c>
      <c r="V23" s="2" t="s">
        <v>118</v>
      </c>
      <c r="W23" s="36" t="s">
        <v>105</v>
      </c>
      <c r="X23" s="10" t="s">
        <v>108</v>
      </c>
      <c r="Y23" s="10" t="s">
        <v>106</v>
      </c>
      <c r="Z23" s="10" t="s">
        <v>106</v>
      </c>
      <c r="AA23" s="10" t="s">
        <v>107</v>
      </c>
      <c r="AE23" s="38" t="s">
        <v>110</v>
      </c>
      <c r="AF23" s="38" t="s">
        <v>28</v>
      </c>
    </row>
    <row r="24" spans="1:32" x14ac:dyDescent="0.25">
      <c r="B24" t="s">
        <v>51</v>
      </c>
      <c r="E24">
        <f>(B15+(B16*H14)+(B17*POWER(H14,2)))*B21</f>
        <v>67643392</v>
      </c>
      <c r="F24" t="s">
        <v>41</v>
      </c>
      <c r="Y24" s="95" t="s">
        <v>109</v>
      </c>
      <c r="Z24" s="95"/>
      <c r="AA24" s="95"/>
      <c r="AE24" s="3" t="s">
        <v>111</v>
      </c>
      <c r="AF24" s="3">
        <v>10</v>
      </c>
    </row>
    <row r="25" spans="1:32" x14ac:dyDescent="0.25">
      <c r="E25">
        <f>E24/POWER(2,20)</f>
        <v>64.509765625</v>
      </c>
      <c r="F25" t="s">
        <v>84</v>
      </c>
      <c r="G25" s="10" t="s">
        <v>32</v>
      </c>
      <c r="H25" s="94" t="s">
        <v>85</v>
      </c>
      <c r="I25" s="94"/>
      <c r="J25" s="94"/>
      <c r="AE25" s="3">
        <v>2013</v>
      </c>
      <c r="AF25" s="3">
        <v>2</v>
      </c>
    </row>
    <row r="26" spans="1:32" x14ac:dyDescent="0.25">
      <c r="W26" s="38" t="s">
        <v>115</v>
      </c>
      <c r="X26" s="38" t="s">
        <v>21</v>
      </c>
      <c r="Y26" s="38">
        <v>10</v>
      </c>
      <c r="Z26" s="38">
        <v>2</v>
      </c>
      <c r="AA26" s="38">
        <v>5</v>
      </c>
      <c r="AB26" s="38">
        <v>1</v>
      </c>
      <c r="AC26" s="38">
        <v>11</v>
      </c>
      <c r="AE26" s="37" t="s">
        <v>114</v>
      </c>
      <c r="AF26" s="3">
        <v>5</v>
      </c>
    </row>
    <row r="27" spans="1:32" x14ac:dyDescent="0.25">
      <c r="B27" s="94" t="s">
        <v>86</v>
      </c>
      <c r="C27" s="94"/>
      <c r="D27" s="94"/>
      <c r="E27" s="94"/>
      <c r="F27" s="94"/>
      <c r="G27" s="94"/>
      <c r="H27" s="94"/>
      <c r="I27" s="94"/>
      <c r="J27" s="94"/>
      <c r="W27" s="38">
        <v>3</v>
      </c>
      <c r="X27" s="41" t="s">
        <v>120</v>
      </c>
      <c r="Y27" s="3" t="s">
        <v>126</v>
      </c>
      <c r="Z27" s="3" t="s">
        <v>126</v>
      </c>
      <c r="AA27" s="3" t="s">
        <v>134</v>
      </c>
      <c r="AB27" s="3" t="s">
        <v>134</v>
      </c>
      <c r="AC27" s="3" t="s">
        <v>134</v>
      </c>
      <c r="AE27" s="3" t="s">
        <v>112</v>
      </c>
      <c r="AF27" s="3">
        <v>1</v>
      </c>
    </row>
    <row r="28" spans="1:32" x14ac:dyDescent="0.25">
      <c r="W28" s="38">
        <v>2</v>
      </c>
      <c r="X28" s="3" t="s">
        <v>121</v>
      </c>
      <c r="Y28" s="3" t="s">
        <v>121</v>
      </c>
      <c r="Z28" s="3" t="s">
        <v>121</v>
      </c>
      <c r="AA28" s="42" t="s">
        <v>138</v>
      </c>
      <c r="AB28" s="43" t="s">
        <v>138</v>
      </c>
      <c r="AC28" s="43" t="s">
        <v>138</v>
      </c>
      <c r="AE28" s="3" t="s">
        <v>113</v>
      </c>
      <c r="AF28" s="3">
        <v>11</v>
      </c>
    </row>
    <row r="29" spans="1:32" x14ac:dyDescent="0.25">
      <c r="A29" s="24" t="s">
        <v>56</v>
      </c>
      <c r="B29" s="2" t="s">
        <v>87</v>
      </c>
      <c r="C29" s="2">
        <v>2</v>
      </c>
      <c r="D29" s="2" t="s">
        <v>3</v>
      </c>
      <c r="W29" s="38">
        <v>9</v>
      </c>
      <c r="X29" s="3" t="s">
        <v>122</v>
      </c>
      <c r="Y29" s="3" t="s">
        <v>122</v>
      </c>
      <c r="Z29" s="3" t="s">
        <v>122</v>
      </c>
      <c r="AA29" s="41" t="s">
        <v>137</v>
      </c>
      <c r="AB29" s="41" t="s">
        <v>137</v>
      </c>
      <c r="AC29" s="41" t="s">
        <v>137</v>
      </c>
    </row>
    <row r="30" spans="1:32" x14ac:dyDescent="0.25">
      <c r="B30" s="2"/>
      <c r="C30" s="2" t="s">
        <v>88</v>
      </c>
      <c r="D30" s="2" t="s">
        <v>41</v>
      </c>
      <c r="W30" s="38">
        <v>11</v>
      </c>
      <c r="X30" s="3">
        <v>6</v>
      </c>
      <c r="Y30" s="42" t="s">
        <v>127</v>
      </c>
      <c r="Z30" s="3" t="s">
        <v>131</v>
      </c>
      <c r="AA30" s="3" t="s">
        <v>135</v>
      </c>
      <c r="AB30" s="3" t="s">
        <v>135</v>
      </c>
      <c r="AC30" s="3" t="s">
        <v>135</v>
      </c>
      <c r="AE30" s="45"/>
    </row>
    <row r="31" spans="1:32" x14ac:dyDescent="0.25">
      <c r="B31" s="2"/>
      <c r="C31" s="2">
        <f>POWER(2,11)</f>
        <v>2048</v>
      </c>
      <c r="D31" s="2"/>
      <c r="W31" s="38">
        <v>7</v>
      </c>
      <c r="X31" s="3" t="s">
        <v>123</v>
      </c>
      <c r="Y31" s="41" t="s">
        <v>128</v>
      </c>
      <c r="Z31" s="42" t="s">
        <v>129</v>
      </c>
      <c r="AA31" s="3" t="s">
        <v>136</v>
      </c>
      <c r="AB31" s="3" t="s">
        <v>136</v>
      </c>
      <c r="AC31" s="3" t="s">
        <v>136</v>
      </c>
    </row>
    <row r="32" spans="1:32" x14ac:dyDescent="0.25">
      <c r="A32" s="24" t="s">
        <v>89</v>
      </c>
      <c r="B32" s="30" t="s">
        <v>90</v>
      </c>
      <c r="K32" s="24" t="s">
        <v>97</v>
      </c>
      <c r="L32" t="s">
        <v>99</v>
      </c>
      <c r="W32" s="38">
        <v>4</v>
      </c>
      <c r="X32" s="3" t="s">
        <v>124</v>
      </c>
      <c r="Y32" s="3" t="s">
        <v>124</v>
      </c>
      <c r="Z32" s="41" t="s">
        <v>130</v>
      </c>
      <c r="AA32" s="3" t="s">
        <v>132</v>
      </c>
      <c r="AB32" s="3" t="s">
        <v>132</v>
      </c>
      <c r="AC32" s="3" t="s">
        <v>132</v>
      </c>
    </row>
    <row r="33" spans="2:32" ht="15.75" thickBot="1" x14ac:dyDescent="0.3">
      <c r="B33" t="s">
        <v>91</v>
      </c>
      <c r="D33" s="31">
        <f>(10*POWER(2,20))/B21</f>
        <v>10240</v>
      </c>
      <c r="E33" s="31" t="s">
        <v>92</v>
      </c>
      <c r="L33" s="32" t="s">
        <v>98</v>
      </c>
      <c r="M33" s="32"/>
      <c r="N33" s="32"/>
      <c r="O33" s="32"/>
      <c r="P33" s="32"/>
      <c r="Q33" s="32"/>
      <c r="R33" s="32"/>
      <c r="S33" s="32"/>
      <c r="T33" s="32"/>
      <c r="W33" s="40">
        <v>5</v>
      </c>
      <c r="X33" s="8" t="s">
        <v>125</v>
      </c>
      <c r="Y33" s="8" t="s">
        <v>125</v>
      </c>
      <c r="Z33" s="8" t="s">
        <v>125</v>
      </c>
      <c r="AA33" s="8" t="s">
        <v>133</v>
      </c>
      <c r="AB33" s="8" t="s">
        <v>133</v>
      </c>
      <c r="AC33" s="8" t="s">
        <v>133</v>
      </c>
    </row>
    <row r="34" spans="2:32" x14ac:dyDescent="0.25">
      <c r="B34" t="s">
        <v>78</v>
      </c>
      <c r="C34">
        <f>B15</f>
        <v>10</v>
      </c>
      <c r="D34" t="s">
        <v>92</v>
      </c>
      <c r="F34">
        <f>D33</f>
        <v>10240</v>
      </c>
      <c r="G34" t="s">
        <v>93</v>
      </c>
      <c r="L34" s="34" t="s">
        <v>100</v>
      </c>
      <c r="M34" s="34"/>
      <c r="N34" s="34"/>
      <c r="O34" s="34"/>
      <c r="P34" s="34"/>
      <c r="Q34" s="34"/>
      <c r="R34" s="33"/>
      <c r="S34" s="33"/>
      <c r="T34" s="33"/>
      <c r="W34" s="39" t="s">
        <v>116</v>
      </c>
      <c r="X34" s="9" t="s">
        <v>21</v>
      </c>
      <c r="Y34" s="9" t="s">
        <v>22</v>
      </c>
      <c r="Z34" s="9" t="s">
        <v>22</v>
      </c>
      <c r="AA34" s="9" t="s">
        <v>22</v>
      </c>
      <c r="AB34" s="9" t="s">
        <v>21</v>
      </c>
      <c r="AC34" s="9" t="s">
        <v>21</v>
      </c>
    </row>
    <row r="35" spans="2:32" x14ac:dyDescent="0.25">
      <c r="B35" t="s">
        <v>79</v>
      </c>
      <c r="C35">
        <f>B16*H$14</f>
        <v>512</v>
      </c>
      <c r="D35" t="s">
        <v>92</v>
      </c>
      <c r="E35" s="1" t="s">
        <v>32</v>
      </c>
      <c r="F35" s="31">
        <f>C35/H14</f>
        <v>2</v>
      </c>
      <c r="G35" s="31" t="s">
        <v>94</v>
      </c>
      <c r="H35" s="31"/>
      <c r="I35" s="31"/>
      <c r="L35" s="32" t="s">
        <v>101</v>
      </c>
      <c r="M35" s="32"/>
      <c r="N35" s="32"/>
      <c r="O35" s="32"/>
      <c r="P35" s="32"/>
      <c r="Q35" s="32"/>
      <c r="R35" s="32"/>
      <c r="S35" s="32"/>
      <c r="T35" s="32"/>
      <c r="W35" s="38" t="s">
        <v>117</v>
      </c>
      <c r="X35" s="3" t="s">
        <v>21</v>
      </c>
      <c r="Y35" s="3" t="s">
        <v>21</v>
      </c>
      <c r="Z35" s="3" t="s">
        <v>22</v>
      </c>
      <c r="AA35" s="3" t="s">
        <v>21</v>
      </c>
      <c r="AB35" s="3" t="s">
        <v>21</v>
      </c>
      <c r="AC35" s="3" t="s">
        <v>21</v>
      </c>
    </row>
    <row r="36" spans="2:32" x14ac:dyDescent="0.25">
      <c r="B36" t="s">
        <v>80</v>
      </c>
      <c r="C36">
        <f>B17*POWER(H$14,2)</f>
        <v>65536</v>
      </c>
      <c r="D36" t="s">
        <v>92</v>
      </c>
      <c r="F36" s="31">
        <f>ROUND((D33-C34-C35)/H14,0)</f>
        <v>38</v>
      </c>
      <c r="G36" s="31" t="s">
        <v>94</v>
      </c>
      <c r="H36" s="31"/>
      <c r="I36" s="31"/>
      <c r="L36" s="32" t="s">
        <v>102</v>
      </c>
      <c r="M36" s="32"/>
      <c r="N36" s="32"/>
      <c r="O36" s="32"/>
      <c r="P36" s="32"/>
      <c r="Q36" s="32"/>
      <c r="R36" s="32"/>
      <c r="S36" s="32"/>
      <c r="T36" s="33"/>
    </row>
    <row r="37" spans="2:32" x14ac:dyDescent="0.25">
      <c r="B37" t="s">
        <v>95</v>
      </c>
      <c r="L37" s="35" t="s">
        <v>103</v>
      </c>
      <c r="V37" s="2" t="s">
        <v>67</v>
      </c>
      <c r="W37" s="2" t="s">
        <v>119</v>
      </c>
      <c r="X37" s="44" t="s">
        <v>144</v>
      </c>
      <c r="Y37" s="45" t="s">
        <v>32</v>
      </c>
      <c r="Z37" s="46" t="s">
        <v>140</v>
      </c>
      <c r="AE37" s="47" t="s">
        <v>142</v>
      </c>
      <c r="AF37" s="31">
        <f>(POWER(2,12)*7)+19</f>
        <v>28691</v>
      </c>
    </row>
    <row r="38" spans="2:32" x14ac:dyDescent="0.25">
      <c r="B38" s="31">
        <f>(10*POWER(2,20))/C31</f>
        <v>5120</v>
      </c>
      <c r="C38" s="31" t="s">
        <v>96</v>
      </c>
      <c r="L38" s="32" t="s">
        <v>104</v>
      </c>
      <c r="M38" s="32"/>
      <c r="N38" s="32"/>
      <c r="O38" s="32"/>
      <c r="P38" s="32"/>
      <c r="Q38" s="32"/>
      <c r="R38" s="32"/>
      <c r="S38" s="32"/>
      <c r="T38" s="32"/>
      <c r="W38" s="44" t="s">
        <v>139</v>
      </c>
      <c r="X38" s="44" t="s">
        <v>145</v>
      </c>
      <c r="Z38" s="46" t="s">
        <v>141</v>
      </c>
      <c r="AB38" s="44" t="s">
        <v>143</v>
      </c>
      <c r="AC38">
        <f>POWER(2,12)</f>
        <v>4096</v>
      </c>
    </row>
  </sheetData>
  <mergeCells count="5">
    <mergeCell ref="A14:B14"/>
    <mergeCell ref="F14:G14"/>
    <mergeCell ref="H25:J25"/>
    <mergeCell ref="B27:J27"/>
    <mergeCell ref="Y24:AA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3527-711A-4C8F-A471-65D4A96CBAB5}">
  <dimension ref="A22:M40"/>
  <sheetViews>
    <sheetView workbookViewId="0">
      <selection activeCell="N4" sqref="N4"/>
    </sheetView>
  </sheetViews>
  <sheetFormatPr baseColWidth="10" defaultRowHeight="15" x14ac:dyDescent="0.25"/>
  <cols>
    <col min="1" max="1" width="3.140625" style="2" customWidth="1"/>
    <col min="2" max="2" width="15.7109375" customWidth="1"/>
    <col min="5" max="5" width="13" customWidth="1"/>
    <col min="6" max="6" width="5.140625" customWidth="1"/>
    <col min="7" max="7" width="5.7109375" customWidth="1"/>
    <col min="8" max="8" width="6.28515625" customWidth="1"/>
    <col min="9" max="9" width="5.7109375" customWidth="1"/>
    <col min="10" max="10" width="6.140625" customWidth="1"/>
    <col min="11" max="11" width="5.85546875" customWidth="1"/>
    <col min="12" max="12" width="6.5703125" customWidth="1"/>
    <col min="13" max="13" width="1.7109375" style="12" customWidth="1"/>
  </cols>
  <sheetData>
    <row r="22" spans="1:12" x14ac:dyDescent="0.25">
      <c r="A22" s="2" t="s">
        <v>181</v>
      </c>
      <c r="B22" s="2" t="s">
        <v>20</v>
      </c>
      <c r="C22" s="2" t="s">
        <v>182</v>
      </c>
      <c r="D22" s="2" t="s">
        <v>183</v>
      </c>
      <c r="E22" s="53" t="s">
        <v>185</v>
      </c>
    </row>
    <row r="23" spans="1:12" x14ac:dyDescent="0.25">
      <c r="D23" s="2" t="s">
        <v>184</v>
      </c>
      <c r="E23" s="1" t="s">
        <v>32</v>
      </c>
      <c r="F23" s="20" t="s">
        <v>0</v>
      </c>
      <c r="G23" s="23" t="s">
        <v>186</v>
      </c>
    </row>
    <row r="25" spans="1:12" x14ac:dyDescent="0.25">
      <c r="A25" s="2" t="s">
        <v>187</v>
      </c>
      <c r="B25" s="54" t="s">
        <v>188</v>
      </c>
      <c r="C25" s="54" t="s">
        <v>189</v>
      </c>
      <c r="E25" s="96" t="s">
        <v>210</v>
      </c>
      <c r="F25" s="96"/>
      <c r="G25" s="96"/>
      <c r="H25" s="96"/>
      <c r="I25" s="96"/>
      <c r="J25" s="96"/>
      <c r="K25" s="96"/>
      <c r="L25" s="96"/>
    </row>
    <row r="26" spans="1:12" x14ac:dyDescent="0.25">
      <c r="B26" s="3" t="s">
        <v>192</v>
      </c>
      <c r="C26" s="3" t="s">
        <v>190</v>
      </c>
      <c r="E26" s="54" t="s">
        <v>115</v>
      </c>
      <c r="F26" s="54" t="s">
        <v>21</v>
      </c>
      <c r="G26" s="54">
        <v>11</v>
      </c>
      <c r="H26" s="54">
        <v>12</v>
      </c>
      <c r="I26" s="54">
        <v>10</v>
      </c>
      <c r="J26" s="54">
        <v>11</v>
      </c>
      <c r="K26" s="54">
        <v>3</v>
      </c>
      <c r="L26" s="54">
        <v>5</v>
      </c>
    </row>
    <row r="27" spans="1:12" x14ac:dyDescent="0.25">
      <c r="B27" s="3" t="s">
        <v>193</v>
      </c>
      <c r="C27" s="3" t="s">
        <v>190</v>
      </c>
      <c r="E27" s="54">
        <v>11</v>
      </c>
      <c r="F27" s="41" t="s">
        <v>198</v>
      </c>
      <c r="G27" s="41" t="s">
        <v>198</v>
      </c>
      <c r="H27" s="41">
        <v>3</v>
      </c>
      <c r="I27" s="41" t="s">
        <v>127</v>
      </c>
      <c r="J27" s="41" t="s">
        <v>127</v>
      </c>
      <c r="K27" s="3">
        <v>10</v>
      </c>
      <c r="L27" s="42" t="s">
        <v>138</v>
      </c>
    </row>
    <row r="28" spans="1:12" x14ac:dyDescent="0.25">
      <c r="B28" s="3" t="s">
        <v>194</v>
      </c>
      <c r="C28" s="3" t="s">
        <v>190</v>
      </c>
      <c r="E28" s="54">
        <v>12</v>
      </c>
      <c r="F28" s="3" t="s">
        <v>123</v>
      </c>
      <c r="G28" s="3" t="s">
        <v>123</v>
      </c>
      <c r="H28" s="41" t="s">
        <v>204</v>
      </c>
      <c r="I28" s="41" t="s">
        <v>206</v>
      </c>
      <c r="J28" s="41" t="s">
        <v>206</v>
      </c>
      <c r="K28" s="41" t="s">
        <v>205</v>
      </c>
      <c r="L28" s="55" t="s">
        <v>208</v>
      </c>
    </row>
    <row r="29" spans="1:12" x14ac:dyDescent="0.25">
      <c r="B29" s="3" t="s">
        <v>195</v>
      </c>
      <c r="C29" s="3" t="s">
        <v>191</v>
      </c>
      <c r="E29" s="54">
        <v>15</v>
      </c>
      <c r="F29" s="3">
        <v>8</v>
      </c>
      <c r="G29" s="3" t="s">
        <v>201</v>
      </c>
      <c r="H29" s="41" t="s">
        <v>202</v>
      </c>
      <c r="I29" s="3" t="s">
        <v>201</v>
      </c>
      <c r="J29" s="3" t="s">
        <v>126</v>
      </c>
      <c r="K29" s="41" t="s">
        <v>207</v>
      </c>
      <c r="L29" s="42" t="s">
        <v>134</v>
      </c>
    </row>
    <row r="30" spans="1:12" x14ac:dyDescent="0.25">
      <c r="B30" s="3" t="s">
        <v>196</v>
      </c>
      <c r="C30" s="3" t="s">
        <v>191</v>
      </c>
    </row>
    <row r="31" spans="1:12" x14ac:dyDescent="0.25">
      <c r="B31" s="3" t="s">
        <v>197</v>
      </c>
      <c r="C31" s="3" t="s">
        <v>190</v>
      </c>
      <c r="E31" s="96" t="s">
        <v>211</v>
      </c>
      <c r="F31" s="96"/>
      <c r="G31" s="96"/>
      <c r="H31" s="96"/>
      <c r="I31" s="96"/>
      <c r="J31" s="96"/>
      <c r="K31" s="96"/>
      <c r="L31" s="96"/>
    </row>
    <row r="32" spans="1:12" x14ac:dyDescent="0.25">
      <c r="E32" s="54" t="s">
        <v>115</v>
      </c>
      <c r="F32" s="54" t="s">
        <v>21</v>
      </c>
      <c r="G32" s="54">
        <v>11</v>
      </c>
      <c r="H32" s="54">
        <v>12</v>
      </c>
      <c r="I32" s="54">
        <v>10</v>
      </c>
      <c r="J32" s="54">
        <v>11</v>
      </c>
      <c r="K32" s="54">
        <v>3</v>
      </c>
      <c r="L32" s="54">
        <v>5</v>
      </c>
    </row>
    <row r="33" spans="5:12" x14ac:dyDescent="0.25">
      <c r="E33" s="54">
        <v>11</v>
      </c>
      <c r="F33" s="41">
        <v>3</v>
      </c>
      <c r="G33" s="41">
        <v>11</v>
      </c>
      <c r="H33" s="41">
        <v>11</v>
      </c>
      <c r="I33" s="41">
        <v>11</v>
      </c>
      <c r="J33" s="41">
        <v>11</v>
      </c>
      <c r="K33" s="3">
        <v>11</v>
      </c>
      <c r="L33" s="42">
        <v>11</v>
      </c>
    </row>
    <row r="34" spans="5:12" x14ac:dyDescent="0.25">
      <c r="E34" s="54">
        <v>12</v>
      </c>
      <c r="F34" s="3">
        <v>5</v>
      </c>
      <c r="G34" s="3">
        <v>5</v>
      </c>
      <c r="H34" s="41">
        <v>12</v>
      </c>
      <c r="I34" s="41">
        <v>12</v>
      </c>
      <c r="J34" s="41">
        <v>12</v>
      </c>
      <c r="K34" s="41">
        <v>3</v>
      </c>
      <c r="L34" s="55">
        <v>3</v>
      </c>
    </row>
    <row r="35" spans="5:12" x14ac:dyDescent="0.25">
      <c r="E35" s="54">
        <v>15</v>
      </c>
      <c r="F35" s="3">
        <v>8</v>
      </c>
      <c r="G35" s="3">
        <v>8</v>
      </c>
      <c r="H35" s="41">
        <v>8</v>
      </c>
      <c r="I35" s="3">
        <v>10</v>
      </c>
      <c r="J35" s="3">
        <v>10</v>
      </c>
      <c r="K35" s="41">
        <v>10</v>
      </c>
      <c r="L35" s="42">
        <v>5</v>
      </c>
    </row>
    <row r="37" spans="5:12" x14ac:dyDescent="0.25">
      <c r="E37" s="31" t="s">
        <v>199</v>
      </c>
      <c r="F37" s="31"/>
      <c r="G37" s="31"/>
      <c r="H37" s="31"/>
      <c r="I37" s="31"/>
      <c r="J37" s="31"/>
      <c r="K37" s="31"/>
      <c r="L37" s="31"/>
    </row>
    <row r="38" spans="5:12" x14ac:dyDescent="0.25">
      <c r="E38" s="31" t="s">
        <v>200</v>
      </c>
      <c r="F38" s="31"/>
      <c r="G38" s="31"/>
      <c r="H38" s="31"/>
      <c r="I38" s="31"/>
      <c r="J38" s="31"/>
      <c r="K38" s="31"/>
      <c r="L38" s="31"/>
    </row>
    <row r="39" spans="5:12" x14ac:dyDescent="0.25">
      <c r="E39" s="31" t="s">
        <v>203</v>
      </c>
      <c r="F39" s="31"/>
      <c r="G39" s="31"/>
      <c r="H39" s="31"/>
      <c r="I39" s="31"/>
      <c r="J39" s="31"/>
      <c r="K39" s="31"/>
      <c r="L39" s="31"/>
    </row>
    <row r="40" spans="5:12" x14ac:dyDescent="0.25">
      <c r="E40" s="31" t="s">
        <v>209</v>
      </c>
      <c r="F40" s="31"/>
      <c r="G40" s="31"/>
    </row>
  </sheetData>
  <mergeCells count="2">
    <mergeCell ref="E25:L25"/>
    <mergeCell ref="E31:L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243A-D81B-438B-9FD4-718BE400FE7E}">
  <dimension ref="A2:X31"/>
  <sheetViews>
    <sheetView workbookViewId="0">
      <selection activeCell="P25" sqref="P25"/>
    </sheetView>
  </sheetViews>
  <sheetFormatPr baseColWidth="10" defaultRowHeight="15" x14ac:dyDescent="0.25"/>
  <cols>
    <col min="1" max="1" width="11.42578125" customWidth="1"/>
    <col min="4" max="4" width="2.5703125" style="2" customWidth="1"/>
    <col min="12" max="12" width="2" style="12" customWidth="1"/>
    <col min="13" max="13" width="3" style="2" customWidth="1"/>
    <col min="16" max="16" width="12.28515625" customWidth="1"/>
    <col min="19" max="19" width="13.28515625" customWidth="1"/>
  </cols>
  <sheetData>
    <row r="2" spans="13:24" x14ac:dyDescent="0.25">
      <c r="U2" s="3" t="s">
        <v>165</v>
      </c>
      <c r="V2" s="49">
        <f>POWER(2,16)</f>
        <v>65536</v>
      </c>
      <c r="W2" s="17" t="s">
        <v>41</v>
      </c>
      <c r="X2" t="s">
        <v>169</v>
      </c>
    </row>
    <row r="13" spans="13:24" x14ac:dyDescent="0.25">
      <c r="M13" s="2" t="s">
        <v>50</v>
      </c>
      <c r="N13" t="s">
        <v>166</v>
      </c>
    </row>
    <row r="14" spans="13:24" x14ac:dyDescent="0.25">
      <c r="N14" t="s">
        <v>167</v>
      </c>
    </row>
    <row r="15" spans="13:24" x14ac:dyDescent="0.25">
      <c r="N15" s="21" t="s">
        <v>168</v>
      </c>
      <c r="O15" s="22"/>
      <c r="P15" s="23"/>
    </row>
    <row r="17" spans="1:21" x14ac:dyDescent="0.25">
      <c r="M17" s="2" t="s">
        <v>56</v>
      </c>
      <c r="N17" s="50" t="s">
        <v>170</v>
      </c>
      <c r="O17" s="51"/>
    </row>
    <row r="18" spans="1:21" x14ac:dyDescent="0.25">
      <c r="N18" s="21" t="s">
        <v>171</v>
      </c>
      <c r="O18" s="23"/>
    </row>
    <row r="19" spans="1:21" x14ac:dyDescent="0.25">
      <c r="A19" t="s">
        <v>27</v>
      </c>
      <c r="B19">
        <v>4</v>
      </c>
      <c r="C19" t="s">
        <v>3</v>
      </c>
      <c r="D19" s="2" t="s">
        <v>50</v>
      </c>
      <c r="E19" t="s">
        <v>147</v>
      </c>
    </row>
    <row r="20" spans="1:21" x14ac:dyDescent="0.25">
      <c r="A20" t="s">
        <v>146</v>
      </c>
      <c r="B20">
        <v>32</v>
      </c>
      <c r="C20" t="s">
        <v>1</v>
      </c>
      <c r="E20" t="s">
        <v>150</v>
      </c>
      <c r="M20" s="2" t="s">
        <v>67</v>
      </c>
      <c r="N20" s="21" t="s">
        <v>175</v>
      </c>
      <c r="O20" s="22"/>
      <c r="P20" s="23"/>
      <c r="S20" t="s">
        <v>172</v>
      </c>
    </row>
    <row r="21" spans="1:21" x14ac:dyDescent="0.25">
      <c r="E21" s="48" t="s">
        <v>148</v>
      </c>
      <c r="S21" t="s">
        <v>173</v>
      </c>
      <c r="U21">
        <f>POWER(2,32)/POWER(2,16)</f>
        <v>65536</v>
      </c>
    </row>
    <row r="22" spans="1:21" x14ac:dyDescent="0.25">
      <c r="E22" s="48" t="s">
        <v>149</v>
      </c>
      <c r="N22" s="52" t="s">
        <v>176</v>
      </c>
    </row>
    <row r="23" spans="1:21" x14ac:dyDescent="0.25">
      <c r="E23" t="s">
        <v>151</v>
      </c>
      <c r="N23" s="52" t="s">
        <v>180</v>
      </c>
      <c r="S23" t="s">
        <v>177</v>
      </c>
    </row>
    <row r="24" spans="1:21" x14ac:dyDescent="0.25">
      <c r="N24" s="31" t="s">
        <v>225</v>
      </c>
      <c r="O24" s="31"/>
      <c r="S24" t="s">
        <v>178</v>
      </c>
    </row>
    <row r="25" spans="1:21" x14ac:dyDescent="0.25">
      <c r="D25" s="2" t="s">
        <v>56</v>
      </c>
      <c r="E25" s="2" t="s">
        <v>152</v>
      </c>
      <c r="G25" s="2" t="s">
        <v>28</v>
      </c>
      <c r="H25" s="30" t="s">
        <v>156</v>
      </c>
      <c r="S25" t="s">
        <v>174</v>
      </c>
      <c r="T25">
        <f>2*U21</f>
        <v>131072</v>
      </c>
      <c r="U25" t="s">
        <v>41</v>
      </c>
    </row>
    <row r="26" spans="1:21" x14ac:dyDescent="0.25">
      <c r="E26" t="s">
        <v>153</v>
      </c>
      <c r="G26" s="2" t="s">
        <v>154</v>
      </c>
      <c r="H26" s="47" t="s">
        <v>157</v>
      </c>
      <c r="I26" s="47" t="s">
        <v>158</v>
      </c>
      <c r="T26">
        <f>T25/POWER(2,10)</f>
        <v>128</v>
      </c>
      <c r="U26" t="s">
        <v>3</v>
      </c>
    </row>
    <row r="27" spans="1:21" x14ac:dyDescent="0.25">
      <c r="G27" s="2" t="s">
        <v>155</v>
      </c>
      <c r="T27" s="2" t="s">
        <v>179</v>
      </c>
      <c r="U27" s="2" t="s">
        <v>4</v>
      </c>
    </row>
    <row r="29" spans="1:21" x14ac:dyDescent="0.25">
      <c r="D29" s="2" t="s">
        <v>67</v>
      </c>
      <c r="E29" s="2" t="s">
        <v>157</v>
      </c>
      <c r="F29" s="2" t="s">
        <v>159</v>
      </c>
    </row>
    <row r="30" spans="1:21" x14ac:dyDescent="0.25">
      <c r="E30" t="s">
        <v>160</v>
      </c>
      <c r="G30" s="45" t="s">
        <v>32</v>
      </c>
      <c r="H30" s="2" t="s">
        <v>161</v>
      </c>
      <c r="I30" s="10" t="s">
        <v>32</v>
      </c>
      <c r="J30" s="47" t="s">
        <v>163</v>
      </c>
      <c r="K30" s="47" t="s">
        <v>164</v>
      </c>
    </row>
    <row r="31" spans="1:21" x14ac:dyDescent="0.25">
      <c r="H31" s="2" t="s">
        <v>162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3C5C-1217-4B1F-B460-917A1C502BE9}">
  <dimension ref="A14:C24"/>
  <sheetViews>
    <sheetView workbookViewId="0">
      <selection activeCell="C24" sqref="C24"/>
    </sheetView>
  </sheetViews>
  <sheetFormatPr baseColWidth="10" defaultRowHeight="15" x14ac:dyDescent="0.25"/>
  <cols>
    <col min="1" max="1" width="2.7109375" style="2" customWidth="1"/>
    <col min="2" max="2" width="3.28515625" style="2" customWidth="1"/>
  </cols>
  <sheetData>
    <row r="14" spans="1:3" x14ac:dyDescent="0.25">
      <c r="A14" s="2" t="s">
        <v>181</v>
      </c>
      <c r="B14" s="2" t="s">
        <v>212</v>
      </c>
      <c r="C14" t="s">
        <v>217</v>
      </c>
    </row>
    <row r="15" spans="1:3" x14ac:dyDescent="0.25">
      <c r="B15" s="2" t="s">
        <v>213</v>
      </c>
      <c r="C15" t="s">
        <v>216</v>
      </c>
    </row>
    <row r="16" spans="1:3" x14ac:dyDescent="0.25">
      <c r="B16" s="2" t="s">
        <v>214</v>
      </c>
      <c r="C16" t="s">
        <v>215</v>
      </c>
    </row>
    <row r="18" spans="1:3" x14ac:dyDescent="0.25">
      <c r="A18" s="2" t="s">
        <v>187</v>
      </c>
      <c r="B18" s="2" t="s">
        <v>212</v>
      </c>
      <c r="C18" s="30" t="s">
        <v>218</v>
      </c>
    </row>
    <row r="19" spans="1:3" x14ac:dyDescent="0.25">
      <c r="B19" s="2" t="s">
        <v>213</v>
      </c>
      <c r="C19" s="30" t="s">
        <v>220</v>
      </c>
    </row>
    <row r="20" spans="1:3" x14ac:dyDescent="0.25">
      <c r="B20" s="2" t="s">
        <v>214</v>
      </c>
      <c r="C20" s="30" t="s">
        <v>221</v>
      </c>
    </row>
    <row r="22" spans="1:3" x14ac:dyDescent="0.25">
      <c r="A22" s="2" t="s">
        <v>219</v>
      </c>
      <c r="B22" s="2" t="s">
        <v>212</v>
      </c>
      <c r="C22" t="s">
        <v>222</v>
      </c>
    </row>
    <row r="23" spans="1:3" x14ac:dyDescent="0.25">
      <c r="B23" s="2" t="s">
        <v>213</v>
      </c>
      <c r="C23" t="s">
        <v>224</v>
      </c>
    </row>
    <row r="24" spans="1:3" x14ac:dyDescent="0.25">
      <c r="B24" s="2" t="s">
        <v>214</v>
      </c>
      <c r="C24" t="s">
        <v>223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BE4A-85DB-44EA-96B9-4B1063372CDC}">
  <dimension ref="A1:Z30"/>
  <sheetViews>
    <sheetView workbookViewId="0">
      <selection activeCell="X22" sqref="X22"/>
    </sheetView>
  </sheetViews>
  <sheetFormatPr baseColWidth="10" defaultRowHeight="15" x14ac:dyDescent="0.25"/>
  <cols>
    <col min="1" max="1" width="2.5703125" style="2" customWidth="1"/>
    <col min="2" max="2" width="3" style="2" customWidth="1"/>
    <col min="4" max="4" width="12" bestFit="1" customWidth="1"/>
    <col min="7" max="7" width="10.85546875" style="2" customWidth="1"/>
    <col min="11" max="11" width="2" style="12" customWidth="1"/>
    <col min="19" max="19" width="2.7109375" style="2" customWidth="1"/>
    <col min="20" max="20" width="16.85546875" customWidth="1"/>
    <col min="21" max="21" width="19.140625" customWidth="1"/>
    <col min="22" max="22" width="7.7109375" customWidth="1"/>
    <col min="23" max="23" width="6.7109375" customWidth="1"/>
    <col min="24" max="24" width="6.5703125" customWidth="1"/>
    <col min="25" max="25" width="6.140625" customWidth="1"/>
    <col min="26" max="26" width="6.42578125" customWidth="1"/>
  </cols>
  <sheetData>
    <row r="1" spans="19:26" x14ac:dyDescent="0.25">
      <c r="S1" s="2" t="s">
        <v>50</v>
      </c>
      <c r="T1" s="54" t="s">
        <v>237</v>
      </c>
      <c r="U1" s="54" t="s">
        <v>238</v>
      </c>
      <c r="V1" s="54" t="s">
        <v>28</v>
      </c>
    </row>
    <row r="2" spans="19:26" x14ac:dyDescent="0.25">
      <c r="T2" s="3" t="s">
        <v>239</v>
      </c>
      <c r="U2" s="3" t="s">
        <v>241</v>
      </c>
      <c r="V2" s="3">
        <v>5</v>
      </c>
      <c r="W2" s="1" t="s">
        <v>243</v>
      </c>
    </row>
    <row r="3" spans="19:26" x14ac:dyDescent="0.25">
      <c r="T3" s="3" t="s">
        <v>240</v>
      </c>
      <c r="U3" s="3" t="s">
        <v>242</v>
      </c>
      <c r="V3" s="3">
        <v>3</v>
      </c>
      <c r="W3" s="1" t="s">
        <v>244</v>
      </c>
    </row>
    <row r="5" spans="19:26" x14ac:dyDescent="0.25">
      <c r="S5" s="2" t="s">
        <v>56</v>
      </c>
      <c r="T5" s="99" t="s">
        <v>245</v>
      </c>
      <c r="U5" s="99"/>
      <c r="V5" s="99"/>
      <c r="W5" s="99"/>
      <c r="X5" s="99"/>
      <c r="Y5" s="99"/>
      <c r="Z5" s="99"/>
    </row>
    <row r="6" spans="19:26" x14ac:dyDescent="0.25">
      <c r="T6" s="54" t="s">
        <v>115</v>
      </c>
      <c r="U6" s="54" t="s">
        <v>21</v>
      </c>
      <c r="V6" s="64" t="s">
        <v>248</v>
      </c>
      <c r="W6" s="54" t="s">
        <v>249</v>
      </c>
      <c r="X6" s="64" t="s">
        <v>250</v>
      </c>
      <c r="Y6" s="64" t="s">
        <v>252</v>
      </c>
      <c r="Z6" s="64" t="s">
        <v>251</v>
      </c>
    </row>
    <row r="7" spans="19:26" x14ac:dyDescent="0.25">
      <c r="T7" s="54">
        <v>0</v>
      </c>
      <c r="U7" s="41" t="s">
        <v>256</v>
      </c>
      <c r="V7" s="3" t="s">
        <v>123</v>
      </c>
      <c r="W7" s="3" t="s">
        <v>123</v>
      </c>
      <c r="X7" s="42" t="s">
        <v>125</v>
      </c>
      <c r="Y7" s="43" t="s">
        <v>125</v>
      </c>
      <c r="Z7" s="3" t="s">
        <v>125</v>
      </c>
    </row>
    <row r="8" spans="19:26" x14ac:dyDescent="0.25">
      <c r="T8" s="54">
        <v>2</v>
      </c>
      <c r="U8" s="3" t="s">
        <v>133</v>
      </c>
      <c r="V8" s="42" t="s">
        <v>124</v>
      </c>
      <c r="W8" s="43" t="s">
        <v>124</v>
      </c>
      <c r="X8" s="41" t="s">
        <v>130</v>
      </c>
      <c r="Y8" s="41" t="s">
        <v>130</v>
      </c>
      <c r="Z8" s="3" t="s">
        <v>124</v>
      </c>
    </row>
    <row r="9" spans="19:26" x14ac:dyDescent="0.25">
      <c r="T9" s="54">
        <v>3</v>
      </c>
      <c r="U9" s="3" t="s">
        <v>122</v>
      </c>
      <c r="V9" s="41" t="s">
        <v>258</v>
      </c>
      <c r="W9" s="41" t="s">
        <v>258</v>
      </c>
      <c r="X9" s="3">
        <v>4</v>
      </c>
      <c r="Y9" s="3">
        <v>4</v>
      </c>
      <c r="Z9" s="42" t="s">
        <v>129</v>
      </c>
    </row>
    <row r="10" spans="19:26" x14ac:dyDescent="0.25">
      <c r="T10" s="54">
        <v>6</v>
      </c>
      <c r="U10" s="3" t="s">
        <v>257</v>
      </c>
      <c r="V10" s="3" t="s">
        <v>257</v>
      </c>
      <c r="W10" s="3" t="s">
        <v>257</v>
      </c>
      <c r="X10" s="3" t="s">
        <v>259</v>
      </c>
      <c r="Y10" s="3" t="s">
        <v>259</v>
      </c>
      <c r="Z10" s="3" t="s">
        <v>259</v>
      </c>
    </row>
    <row r="11" spans="19:26" ht="15.75" thickBot="1" x14ac:dyDescent="0.3">
      <c r="T11" s="63">
        <v>7</v>
      </c>
      <c r="U11" s="8" t="s">
        <v>121</v>
      </c>
      <c r="V11" s="8" t="s">
        <v>121</v>
      </c>
      <c r="W11" s="8" t="s">
        <v>121</v>
      </c>
      <c r="X11" s="8">
        <v>3</v>
      </c>
      <c r="Y11" s="8">
        <v>3</v>
      </c>
      <c r="Z11" s="8">
        <v>3</v>
      </c>
    </row>
    <row r="12" spans="19:26" x14ac:dyDescent="0.25">
      <c r="T12" s="62" t="s">
        <v>246</v>
      </c>
      <c r="U12" s="9" t="s">
        <v>21</v>
      </c>
      <c r="V12" s="9" t="s">
        <v>22</v>
      </c>
      <c r="W12" s="9" t="s">
        <v>21</v>
      </c>
      <c r="X12" s="9" t="s">
        <v>22</v>
      </c>
      <c r="Y12" s="9" t="s">
        <v>21</v>
      </c>
      <c r="Z12" s="9" t="s">
        <v>22</v>
      </c>
    </row>
    <row r="13" spans="19:26" x14ac:dyDescent="0.25">
      <c r="T13" s="62" t="s">
        <v>247</v>
      </c>
      <c r="U13" s="9" t="s">
        <v>21</v>
      </c>
      <c r="V13" s="9" t="s">
        <v>22</v>
      </c>
      <c r="W13" s="9" t="s">
        <v>21</v>
      </c>
      <c r="X13" s="9" t="s">
        <v>22</v>
      </c>
      <c r="Y13" s="9" t="s">
        <v>21</v>
      </c>
      <c r="Z13" s="9" t="s">
        <v>21</v>
      </c>
    </row>
    <row r="15" spans="19:26" x14ac:dyDescent="0.25">
      <c r="T15" s="100" t="s">
        <v>253</v>
      </c>
      <c r="U15" s="101"/>
      <c r="V15" s="101"/>
      <c r="W15" s="101"/>
      <c r="X15" s="102"/>
    </row>
    <row r="16" spans="19:26" x14ac:dyDescent="0.25">
      <c r="T16" s="54" t="s">
        <v>115</v>
      </c>
      <c r="U16" s="54" t="s">
        <v>21</v>
      </c>
      <c r="V16" s="64" t="s">
        <v>251</v>
      </c>
      <c r="W16" s="54" t="s">
        <v>248</v>
      </c>
      <c r="X16" s="64" t="s">
        <v>254</v>
      </c>
    </row>
    <row r="17" spans="1:24" x14ac:dyDescent="0.25">
      <c r="T17" s="54">
        <v>1</v>
      </c>
      <c r="U17" s="41" t="s">
        <v>260</v>
      </c>
      <c r="V17" s="55" t="s">
        <v>129</v>
      </c>
      <c r="W17" s="66" t="s">
        <v>129</v>
      </c>
      <c r="X17" s="66" t="s">
        <v>129</v>
      </c>
    </row>
    <row r="18" spans="1:24" x14ac:dyDescent="0.25">
      <c r="A18" s="2" t="s">
        <v>181</v>
      </c>
      <c r="B18" s="2" t="s">
        <v>212</v>
      </c>
      <c r="C18" s="97" t="s">
        <v>228</v>
      </c>
      <c r="D18" s="97"/>
      <c r="T18" s="54">
        <v>4</v>
      </c>
      <c r="U18" s="3" t="s">
        <v>255</v>
      </c>
      <c r="V18" s="41" t="s">
        <v>256</v>
      </c>
      <c r="W18" s="41" t="s">
        <v>256</v>
      </c>
      <c r="X18" s="41" t="s">
        <v>256</v>
      </c>
    </row>
    <row r="19" spans="1:24" ht="15.75" thickBot="1" x14ac:dyDescent="0.3">
      <c r="B19" s="2" t="s">
        <v>213</v>
      </c>
      <c r="C19" s="97" t="s">
        <v>227</v>
      </c>
      <c r="D19" s="97"/>
      <c r="E19" s="97"/>
      <c r="F19" s="97"/>
      <c r="G19" s="97"/>
      <c r="H19" s="97"/>
      <c r="I19" s="97"/>
      <c r="J19" s="97"/>
      <c r="T19" s="63">
        <v>5</v>
      </c>
      <c r="U19" s="8" t="s">
        <v>132</v>
      </c>
      <c r="V19" s="8" t="s">
        <v>132</v>
      </c>
      <c r="W19" s="8" t="s">
        <v>132</v>
      </c>
      <c r="X19" s="8" t="s">
        <v>132</v>
      </c>
    </row>
    <row r="20" spans="1:24" x14ac:dyDescent="0.25">
      <c r="T20" s="62" t="s">
        <v>246</v>
      </c>
      <c r="U20" s="65" t="s">
        <v>21</v>
      </c>
      <c r="V20" s="65" t="s">
        <v>22</v>
      </c>
      <c r="W20" s="65" t="s">
        <v>21</v>
      </c>
      <c r="X20" s="65" t="s">
        <v>21</v>
      </c>
    </row>
    <row r="21" spans="1:24" x14ac:dyDescent="0.25">
      <c r="A21" s="2" t="s">
        <v>187</v>
      </c>
      <c r="B21" s="97" t="s">
        <v>229</v>
      </c>
      <c r="C21" s="97"/>
      <c r="D21" s="97"/>
      <c r="E21" s="97"/>
      <c r="F21" s="97"/>
      <c r="T21" s="62" t="s">
        <v>247</v>
      </c>
      <c r="U21" s="9" t="s">
        <v>21</v>
      </c>
      <c r="V21" s="9" t="s">
        <v>22</v>
      </c>
      <c r="W21" s="9" t="s">
        <v>21</v>
      </c>
      <c r="X21" s="9" t="s">
        <v>21</v>
      </c>
    </row>
    <row r="22" spans="1:24" ht="46.5" customHeight="1" x14ac:dyDescent="0.25">
      <c r="B22" s="98" t="s">
        <v>231</v>
      </c>
      <c r="C22" s="98"/>
      <c r="D22" s="98"/>
      <c r="E22" s="98"/>
      <c r="F22" s="98"/>
      <c r="G22" s="98"/>
      <c r="H22" s="98"/>
      <c r="I22" s="98"/>
      <c r="J22" s="98"/>
    </row>
    <row r="24" spans="1:24" x14ac:dyDescent="0.25">
      <c r="A24" s="2" t="s">
        <v>219</v>
      </c>
      <c r="B24" s="30" t="s">
        <v>230</v>
      </c>
      <c r="C24" s="30"/>
      <c r="D24" s="30"/>
      <c r="E24" s="30"/>
      <c r="F24" s="30"/>
      <c r="G24" s="30"/>
      <c r="H24" s="30"/>
      <c r="I24" s="30"/>
    </row>
    <row r="25" spans="1:24" x14ac:dyDescent="0.25">
      <c r="B25" s="30" t="s">
        <v>232</v>
      </c>
    </row>
    <row r="26" spans="1:24" x14ac:dyDescent="0.25">
      <c r="B26" s="30" t="s">
        <v>233</v>
      </c>
    </row>
    <row r="27" spans="1:24" x14ac:dyDescent="0.25">
      <c r="B27" s="30" t="s">
        <v>234</v>
      </c>
      <c r="D27">
        <f>POWER(2,41)/POWER(2,32)</f>
        <v>512</v>
      </c>
      <c r="E27" t="s">
        <v>41</v>
      </c>
    </row>
    <row r="29" spans="1:24" x14ac:dyDescent="0.25">
      <c r="B29" s="30" t="s">
        <v>235</v>
      </c>
    </row>
    <row r="30" spans="1:24" x14ac:dyDescent="0.25">
      <c r="B30" s="61" t="s">
        <v>236</v>
      </c>
      <c r="C30" s="31"/>
      <c r="D30" s="31">
        <f>D27*1</f>
        <v>512</v>
      </c>
    </row>
  </sheetData>
  <mergeCells count="6">
    <mergeCell ref="C18:D18"/>
    <mergeCell ref="C19:J19"/>
    <mergeCell ref="B21:F21"/>
    <mergeCell ref="B22:J22"/>
    <mergeCell ref="T5:Z5"/>
    <mergeCell ref="T15:X1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BD8C-B30D-404B-90FD-5352B5FDD772}">
  <dimension ref="A1:Y35"/>
  <sheetViews>
    <sheetView topLeftCell="A4" workbookViewId="0">
      <selection activeCell="V28" sqref="V28:Y28"/>
    </sheetView>
  </sheetViews>
  <sheetFormatPr baseColWidth="10" defaultRowHeight="15" x14ac:dyDescent="0.25"/>
  <cols>
    <col min="1" max="1" width="3" style="2" customWidth="1"/>
    <col min="5" max="5" width="12" bestFit="1" customWidth="1"/>
    <col min="10" max="10" width="12" bestFit="1" customWidth="1"/>
    <col min="12" max="12" width="11.42578125" customWidth="1"/>
    <col min="13" max="13" width="2" style="12" customWidth="1"/>
    <col min="14" max="14" width="16.5703125" customWidth="1"/>
    <col min="21" max="21" width="2.85546875" style="2" customWidth="1"/>
    <col min="24" max="24" width="9.7109375" customWidth="1"/>
  </cols>
  <sheetData>
    <row r="1" spans="21:25" x14ac:dyDescent="0.25">
      <c r="U1" s="2" t="s">
        <v>50</v>
      </c>
      <c r="V1" s="53" t="s">
        <v>282</v>
      </c>
    </row>
    <row r="2" spans="21:25" x14ac:dyDescent="0.25">
      <c r="V2" s="72" t="s">
        <v>283</v>
      </c>
    </row>
    <row r="3" spans="21:25" x14ac:dyDescent="0.25">
      <c r="V3" s="1"/>
    </row>
    <row r="4" spans="21:25" x14ac:dyDescent="0.25">
      <c r="V4" t="s">
        <v>284</v>
      </c>
    </row>
    <row r="5" spans="21:25" x14ac:dyDescent="0.25">
      <c r="V5" s="1" t="s">
        <v>285</v>
      </c>
    </row>
    <row r="6" spans="21:25" x14ac:dyDescent="0.25">
      <c r="V6" s="1" t="s">
        <v>286</v>
      </c>
    </row>
    <row r="8" spans="21:25" x14ac:dyDescent="0.25">
      <c r="V8" s="2" t="s">
        <v>278</v>
      </c>
      <c r="W8" s="1" t="s">
        <v>288</v>
      </c>
      <c r="Y8" t="s">
        <v>292</v>
      </c>
    </row>
    <row r="9" spans="21:25" x14ac:dyDescent="0.25">
      <c r="V9" s="2" t="s">
        <v>279</v>
      </c>
      <c r="W9" s="1" t="s">
        <v>289</v>
      </c>
      <c r="Y9" t="s">
        <v>293</v>
      </c>
    </row>
    <row r="10" spans="21:25" x14ac:dyDescent="0.25">
      <c r="V10" s="2" t="s">
        <v>280</v>
      </c>
      <c r="W10" s="1" t="s">
        <v>290</v>
      </c>
      <c r="Y10" t="s">
        <v>295</v>
      </c>
    </row>
    <row r="11" spans="21:25" x14ac:dyDescent="0.25">
      <c r="V11" s="2" t="s">
        <v>281</v>
      </c>
      <c r="W11" s="1" t="s">
        <v>291</v>
      </c>
      <c r="Y11" t="s">
        <v>292</v>
      </c>
    </row>
    <row r="12" spans="21:25" x14ac:dyDescent="0.25">
      <c r="W12" s="10" t="s">
        <v>32</v>
      </c>
    </row>
    <row r="13" spans="21:25" x14ac:dyDescent="0.25">
      <c r="V13" s="2" t="s">
        <v>278</v>
      </c>
      <c r="W13" s="27" t="s">
        <v>280</v>
      </c>
      <c r="X13" s="23" t="s">
        <v>0</v>
      </c>
    </row>
    <row r="14" spans="21:25" x14ac:dyDescent="0.25">
      <c r="V14" s="2" t="s">
        <v>279</v>
      </c>
      <c r="W14" s="27" t="s">
        <v>294</v>
      </c>
      <c r="X14" s="23" t="s">
        <v>0</v>
      </c>
    </row>
    <row r="15" spans="21:25" x14ac:dyDescent="0.25">
      <c r="V15" s="2" t="s">
        <v>280</v>
      </c>
      <c r="W15" s="27" t="s">
        <v>280</v>
      </c>
      <c r="X15" s="23" t="s">
        <v>0</v>
      </c>
    </row>
    <row r="16" spans="21:25" x14ac:dyDescent="0.25">
      <c r="V16" s="2" t="s">
        <v>281</v>
      </c>
      <c r="W16" s="75" t="s">
        <v>296</v>
      </c>
      <c r="X16" s="23" t="s">
        <v>0</v>
      </c>
    </row>
    <row r="18" spans="1:25" x14ac:dyDescent="0.25">
      <c r="U18" s="2" t="s">
        <v>56</v>
      </c>
      <c r="V18" s="46" t="s">
        <v>297</v>
      </c>
    </row>
    <row r="19" spans="1:25" x14ac:dyDescent="0.25">
      <c r="A19" s="2" t="s">
        <v>50</v>
      </c>
      <c r="B19" t="s">
        <v>261</v>
      </c>
      <c r="G19" s="10" t="s">
        <v>32</v>
      </c>
      <c r="H19" s="3" t="s">
        <v>262</v>
      </c>
      <c r="I19" s="67">
        <v>2048</v>
      </c>
      <c r="J19" s="17" t="s">
        <v>41</v>
      </c>
      <c r="V19" s="46" t="s">
        <v>298</v>
      </c>
    </row>
    <row r="20" spans="1:25" ht="42.75" customHeight="1" x14ac:dyDescent="0.25">
      <c r="B20" t="s">
        <v>263</v>
      </c>
      <c r="D20" s="10" t="s">
        <v>32</v>
      </c>
      <c r="E20" s="49">
        <f>POWER(2,13)/I19</f>
        <v>4</v>
      </c>
      <c r="F20" s="67" t="s">
        <v>264</v>
      </c>
      <c r="G20" s="67"/>
      <c r="H20" s="17"/>
      <c r="N20" s="53" t="s">
        <v>77</v>
      </c>
      <c r="O20">
        <v>16</v>
      </c>
      <c r="P20" t="s">
        <v>1</v>
      </c>
      <c r="V20" s="103" t="s">
        <v>299</v>
      </c>
      <c r="W20" s="104"/>
      <c r="X20" s="104"/>
      <c r="Y20" s="105"/>
    </row>
    <row r="21" spans="1:25" x14ac:dyDescent="0.25">
      <c r="N21" s="53" t="s">
        <v>276</v>
      </c>
      <c r="O21">
        <v>64</v>
      </c>
      <c r="P21" t="s">
        <v>3</v>
      </c>
      <c r="Q21" s="10" t="s">
        <v>32</v>
      </c>
      <c r="R21" s="2" t="s">
        <v>277</v>
      </c>
    </row>
    <row r="22" spans="1:25" x14ac:dyDescent="0.25">
      <c r="B22" t="s">
        <v>265</v>
      </c>
      <c r="N22" t="s">
        <v>287</v>
      </c>
      <c r="O22">
        <f>O21/16</f>
        <v>4</v>
      </c>
      <c r="P22" t="s">
        <v>3</v>
      </c>
      <c r="Q22" s="10" t="s">
        <v>32</v>
      </c>
      <c r="R22" s="2" t="s">
        <v>54</v>
      </c>
      <c r="U22" s="2" t="s">
        <v>67</v>
      </c>
      <c r="V22" s="21" t="s">
        <v>300</v>
      </c>
      <c r="W22" s="23"/>
      <c r="X22" s="70"/>
    </row>
    <row r="23" spans="1:25" x14ac:dyDescent="0.25">
      <c r="E23" s="10" t="s">
        <v>32</v>
      </c>
      <c r="V23" s="21" t="s">
        <v>301</v>
      </c>
      <c r="W23" s="23"/>
    </row>
    <row r="24" spans="1:25" x14ac:dyDescent="0.25">
      <c r="E24" s="47" t="s">
        <v>266</v>
      </c>
    </row>
    <row r="25" spans="1:25" x14ac:dyDescent="0.25">
      <c r="U25" s="2" t="s">
        <v>302</v>
      </c>
      <c r="V25" s="21" t="s">
        <v>303</v>
      </c>
      <c r="W25" s="22"/>
      <c r="X25" s="23"/>
    </row>
    <row r="26" spans="1:25" x14ac:dyDescent="0.25">
      <c r="A26" s="2" t="s">
        <v>56</v>
      </c>
      <c r="B26" t="s">
        <v>268</v>
      </c>
      <c r="E26" s="10" t="s">
        <v>32</v>
      </c>
      <c r="F26" s="2" t="s">
        <v>269</v>
      </c>
      <c r="G26" s="2" t="s">
        <v>41</v>
      </c>
      <c r="V26" s="52" t="s">
        <v>304</v>
      </c>
      <c r="W26">
        <f>POWER(2,12)</f>
        <v>4096</v>
      </c>
    </row>
    <row r="27" spans="1:25" x14ac:dyDescent="0.25">
      <c r="B27" t="s">
        <v>271</v>
      </c>
      <c r="V27" s="52" t="s">
        <v>305</v>
      </c>
      <c r="Y27">
        <f>W26-1</f>
        <v>4095</v>
      </c>
    </row>
    <row r="28" spans="1:25" ht="28.5" customHeight="1" x14ac:dyDescent="0.25">
      <c r="B28" t="s">
        <v>270</v>
      </c>
      <c r="V28" s="103" t="s">
        <v>306</v>
      </c>
      <c r="W28" s="104"/>
      <c r="X28" s="104"/>
      <c r="Y28" s="105"/>
    </row>
    <row r="29" spans="1:25" x14ac:dyDescent="0.25">
      <c r="B29" t="s">
        <v>272</v>
      </c>
    </row>
    <row r="30" spans="1:25" x14ac:dyDescent="0.25">
      <c r="B30" s="68" t="s">
        <v>273</v>
      </c>
      <c r="C30" s="69"/>
      <c r="D30" s="10" t="s">
        <v>32</v>
      </c>
      <c r="E30" s="29" t="s">
        <v>274</v>
      </c>
      <c r="F30" s="67">
        <v>8</v>
      </c>
      <c r="G30" s="17" t="s">
        <v>41</v>
      </c>
      <c r="H30" s="45" t="s">
        <v>32</v>
      </c>
      <c r="I30" s="49">
        <f>I19/F30</f>
        <v>256</v>
      </c>
      <c r="J30" s="67" t="s">
        <v>45</v>
      </c>
      <c r="K30" s="17"/>
    </row>
    <row r="32" spans="1:25" x14ac:dyDescent="0.25">
      <c r="B32" t="s">
        <v>52</v>
      </c>
    </row>
    <row r="33" spans="2:9" x14ac:dyDescent="0.25">
      <c r="B33" s="21" t="s">
        <v>267</v>
      </c>
      <c r="C33" s="22"/>
      <c r="D33" s="22"/>
      <c r="E33" s="22">
        <f>(12+(1*I30)+(1*POWER(I30,2))+(1*POWER(I30,3)))*I19</f>
        <v>34494504960</v>
      </c>
      <c r="F33" s="22" t="s">
        <v>41</v>
      </c>
      <c r="G33" s="71" t="s">
        <v>32</v>
      </c>
      <c r="H33" s="22">
        <f>E33/POWER(2,30)</f>
        <v>32.125511169433594</v>
      </c>
      <c r="I33" s="23" t="s">
        <v>55</v>
      </c>
    </row>
    <row r="35" spans="2:9" x14ac:dyDescent="0.25">
      <c r="B35" s="21" t="s">
        <v>275</v>
      </c>
      <c r="C35" s="22"/>
      <c r="D35" s="23"/>
    </row>
  </sheetData>
  <mergeCells count="2">
    <mergeCell ref="V20:Y20"/>
    <mergeCell ref="V28:Y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9DD4-B244-4A4F-A930-BB6A7CFF28ED}">
  <dimension ref="A1:AA27"/>
  <sheetViews>
    <sheetView workbookViewId="0">
      <selection activeCell="W31" sqref="W31"/>
    </sheetView>
  </sheetViews>
  <sheetFormatPr baseColWidth="10" defaultRowHeight="15" x14ac:dyDescent="0.25"/>
  <cols>
    <col min="1" max="1" width="3.140625" customWidth="1"/>
    <col min="13" max="13" width="2.7109375" style="12" customWidth="1"/>
    <col min="14" max="14" width="8.28515625" customWidth="1"/>
    <col min="15" max="15" width="7.42578125" customWidth="1"/>
    <col min="16" max="16" width="9.140625" customWidth="1"/>
    <col min="17" max="17" width="8.7109375" customWidth="1"/>
    <col min="18" max="18" width="8" customWidth="1"/>
    <col min="19" max="19" width="9.7109375" customWidth="1"/>
    <col min="20" max="20" width="8.7109375" customWidth="1"/>
    <col min="21" max="21" width="3" style="2" customWidth="1"/>
  </cols>
  <sheetData>
    <row r="1" spans="2:26" x14ac:dyDescent="0.25">
      <c r="U1" s="2" t="s">
        <v>181</v>
      </c>
      <c r="V1" s="2" t="s">
        <v>0</v>
      </c>
      <c r="W1" s="2" t="s">
        <v>354</v>
      </c>
      <c r="X1" s="2" t="s">
        <v>20</v>
      </c>
      <c r="Y1" s="2" t="s">
        <v>355</v>
      </c>
    </row>
    <row r="2" spans="2:26" x14ac:dyDescent="0.25">
      <c r="U2" s="2" t="s">
        <v>71</v>
      </c>
      <c r="V2" t="s">
        <v>356</v>
      </c>
    </row>
    <row r="3" spans="2:26" x14ac:dyDescent="0.25">
      <c r="V3" t="s">
        <v>357</v>
      </c>
    </row>
    <row r="4" spans="2:26" x14ac:dyDescent="0.25">
      <c r="V4" t="s">
        <v>358</v>
      </c>
    </row>
    <row r="5" spans="2:26" x14ac:dyDescent="0.25">
      <c r="V5" t="s">
        <v>359</v>
      </c>
    </row>
    <row r="6" spans="2:26" x14ac:dyDescent="0.25">
      <c r="V6" s="29" t="s">
        <v>360</v>
      </c>
      <c r="W6" s="67">
        <f>(20*2)/(5*8)</f>
        <v>1</v>
      </c>
      <c r="X6" s="17" t="s">
        <v>3</v>
      </c>
    </row>
    <row r="7" spans="2:26" x14ac:dyDescent="0.25">
      <c r="W7" s="2" t="s">
        <v>4</v>
      </c>
    </row>
    <row r="8" spans="2:26" x14ac:dyDescent="0.25">
      <c r="V8" t="s">
        <v>361</v>
      </c>
    </row>
    <row r="9" spans="2:26" x14ac:dyDescent="0.25">
      <c r="V9" t="s">
        <v>362</v>
      </c>
    </row>
    <row r="11" spans="2:26" x14ac:dyDescent="0.25">
      <c r="V11" s="2" t="s">
        <v>0</v>
      </c>
      <c r="W11" s="2" t="s">
        <v>363</v>
      </c>
      <c r="X11" s="1" t="s">
        <v>367</v>
      </c>
    </row>
    <row r="12" spans="2:26" x14ac:dyDescent="0.25">
      <c r="V12" s="53" t="s">
        <v>364</v>
      </c>
      <c r="X12" s="1"/>
    </row>
    <row r="13" spans="2:26" x14ac:dyDescent="0.25">
      <c r="B13">
        <v>256</v>
      </c>
      <c r="C13" t="s">
        <v>309</v>
      </c>
      <c r="V13" t="s">
        <v>365</v>
      </c>
    </row>
    <row r="14" spans="2:26" x14ac:dyDescent="0.25">
      <c r="B14" t="s">
        <v>347</v>
      </c>
      <c r="V14" s="10" t="s">
        <v>32</v>
      </c>
      <c r="W14" s="47" t="s">
        <v>366</v>
      </c>
      <c r="X14" s="10" t="s">
        <v>32</v>
      </c>
      <c r="Y14" s="49" t="s">
        <v>368</v>
      </c>
      <c r="Z14" s="17"/>
    </row>
    <row r="15" spans="2:26" x14ac:dyDescent="0.25">
      <c r="B15" t="s">
        <v>348</v>
      </c>
    </row>
    <row r="16" spans="2:26" x14ac:dyDescent="0.25">
      <c r="B16" t="s">
        <v>349</v>
      </c>
      <c r="U16" s="2" t="s">
        <v>72</v>
      </c>
      <c r="V16" s="2" t="s">
        <v>20</v>
      </c>
      <c r="W16" s="2" t="s">
        <v>355</v>
      </c>
      <c r="X16" s="82" t="s">
        <v>369</v>
      </c>
    </row>
    <row r="17" spans="1:27" x14ac:dyDescent="0.25">
      <c r="B17" s="49" t="s">
        <v>350</v>
      </c>
      <c r="C17" s="67">
        <f>B13*4</f>
        <v>1024</v>
      </c>
      <c r="D17" s="67" t="s">
        <v>41</v>
      </c>
      <c r="E17" s="76" t="s">
        <v>32</v>
      </c>
      <c r="F17" s="67">
        <v>1</v>
      </c>
      <c r="G17" s="17" t="s">
        <v>3</v>
      </c>
      <c r="V17" s="10" t="s">
        <v>32</v>
      </c>
      <c r="W17" s="49" t="s">
        <v>370</v>
      </c>
      <c r="X17" s="17"/>
    </row>
    <row r="18" spans="1:27" x14ac:dyDescent="0.25">
      <c r="V18" s="21" t="s">
        <v>371</v>
      </c>
      <c r="W18" s="22"/>
      <c r="X18" s="22"/>
      <c r="Y18" s="22"/>
      <c r="Z18" s="22"/>
      <c r="AA18" s="23"/>
    </row>
    <row r="19" spans="1:27" x14ac:dyDescent="0.25">
      <c r="A19" s="2" t="s">
        <v>50</v>
      </c>
      <c r="B19" t="s">
        <v>52</v>
      </c>
      <c r="V19" s="21" t="s">
        <v>372</v>
      </c>
      <c r="W19" s="22"/>
      <c r="X19" s="22"/>
      <c r="Y19" s="22"/>
      <c r="Z19" s="22"/>
      <c r="AA19" s="23"/>
    </row>
    <row r="20" spans="1:27" x14ac:dyDescent="0.25">
      <c r="B20" s="21" t="s">
        <v>267</v>
      </c>
      <c r="C20" s="22"/>
      <c r="D20" s="22"/>
      <c r="E20" s="22">
        <f>(10+(1*B13)+(2*POWER(B13,2)))*C17</f>
        <v>134490112</v>
      </c>
      <c r="F20" s="22" t="s">
        <v>41</v>
      </c>
      <c r="G20" s="81" t="s">
        <v>32</v>
      </c>
      <c r="H20" s="22">
        <f>E20/POWER(2,20)</f>
        <v>128.259765625</v>
      </c>
      <c r="I20" s="23" t="s">
        <v>84</v>
      </c>
    </row>
    <row r="21" spans="1:27" x14ac:dyDescent="0.25">
      <c r="B21" s="21" t="s">
        <v>351</v>
      </c>
      <c r="C21" s="22"/>
      <c r="D21" s="22"/>
      <c r="E21" s="22">
        <f>H20</f>
        <v>128.259765625</v>
      </c>
      <c r="F21" s="23" t="s">
        <v>84</v>
      </c>
    </row>
    <row r="22" spans="1:27" x14ac:dyDescent="0.25">
      <c r="U22" s="2" t="s">
        <v>187</v>
      </c>
    </row>
    <row r="23" spans="1:27" x14ac:dyDescent="0.25">
      <c r="A23" s="2" t="s">
        <v>56</v>
      </c>
      <c r="B23" s="50" t="s">
        <v>352</v>
      </c>
      <c r="C23" s="79"/>
      <c r="D23" s="79"/>
      <c r="E23" s="79"/>
      <c r="F23" s="51"/>
      <c r="U23" s="2" t="s">
        <v>71</v>
      </c>
      <c r="V23" s="21" t="s">
        <v>373</v>
      </c>
      <c r="W23" s="22"/>
      <c r="X23" s="23"/>
      <c r="Y23" s="10"/>
    </row>
    <row r="24" spans="1:27" x14ac:dyDescent="0.25">
      <c r="B24" s="21" t="s">
        <v>353</v>
      </c>
      <c r="C24" s="22"/>
      <c r="D24" s="22"/>
      <c r="E24" s="22"/>
      <c r="F24" s="22"/>
      <c r="G24" s="22"/>
      <c r="H24" s="22"/>
      <c r="I24" s="22"/>
      <c r="J24" s="22"/>
      <c r="K24" s="22"/>
      <c r="L24" s="23"/>
      <c r="U24" s="2" t="s">
        <v>72</v>
      </c>
      <c r="V24" t="s">
        <v>374</v>
      </c>
      <c r="X24" s="1"/>
    </row>
    <row r="25" spans="1:27" x14ac:dyDescent="0.25">
      <c r="V25" t="s">
        <v>375</v>
      </c>
      <c r="X25" s="1"/>
    </row>
    <row r="26" spans="1:27" x14ac:dyDescent="0.25">
      <c r="V26" t="s">
        <v>376</v>
      </c>
    </row>
    <row r="27" spans="1:27" x14ac:dyDescent="0.25">
      <c r="V27" s="10" t="s">
        <v>32</v>
      </c>
      <c r="W27" s="47" t="s">
        <v>377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3B2D-59D8-4E5A-907B-A60A4E5D2532}">
  <dimension ref="A15:V40"/>
  <sheetViews>
    <sheetView topLeftCell="A4" workbookViewId="0">
      <selection activeCell="D37" sqref="D37:E37"/>
    </sheetView>
  </sheetViews>
  <sheetFormatPr baseColWidth="10" defaultRowHeight="15" x14ac:dyDescent="0.25"/>
  <cols>
    <col min="1" max="1" width="3.28515625" style="2" customWidth="1"/>
    <col min="2" max="2" width="11.85546875" bestFit="1" customWidth="1"/>
    <col min="5" max="5" width="13.7109375" bestFit="1" customWidth="1"/>
    <col min="13" max="13" width="1.42578125" style="12" customWidth="1"/>
    <col min="15" max="15" width="13.5703125" customWidth="1"/>
  </cols>
  <sheetData>
    <row r="15" spans="1:7" x14ac:dyDescent="0.25">
      <c r="A15" s="2" t="s">
        <v>50</v>
      </c>
      <c r="B15" s="2" t="s">
        <v>81</v>
      </c>
      <c r="C15">
        <v>4</v>
      </c>
      <c r="D15" t="s">
        <v>3</v>
      </c>
      <c r="E15" s="10" t="s">
        <v>32</v>
      </c>
      <c r="F15" s="24" t="s">
        <v>40</v>
      </c>
      <c r="G15" t="s">
        <v>41</v>
      </c>
    </row>
    <row r="16" spans="1:7" x14ac:dyDescent="0.25">
      <c r="B16" s="2" t="s">
        <v>307</v>
      </c>
      <c r="C16">
        <v>4</v>
      </c>
      <c r="D16" t="s">
        <v>41</v>
      </c>
    </row>
    <row r="17" spans="1:22" x14ac:dyDescent="0.25">
      <c r="B17" s="106" t="s">
        <v>308</v>
      </c>
      <c r="C17" s="106"/>
      <c r="D17">
        <v>64</v>
      </c>
      <c r="E17" t="s">
        <v>41</v>
      </c>
    </row>
    <row r="18" spans="1:22" x14ac:dyDescent="0.25">
      <c r="B18" s="49">
        <f>POWER(2,12)/C16</f>
        <v>1024</v>
      </c>
      <c r="C18" s="67" t="s">
        <v>309</v>
      </c>
      <c r="D18" s="17"/>
    </row>
    <row r="20" spans="1:22" x14ac:dyDescent="0.25">
      <c r="B20" t="s">
        <v>52</v>
      </c>
    </row>
    <row r="21" spans="1:22" x14ac:dyDescent="0.25">
      <c r="B21" s="49" t="s">
        <v>51</v>
      </c>
      <c r="C21" s="67"/>
      <c r="D21" s="67"/>
      <c r="E21" s="67">
        <f>(15+(1*B18)+(2*POWER(B18,2)))*POWER(2,12)</f>
        <v>8594190336</v>
      </c>
      <c r="F21" s="67" t="s">
        <v>41</v>
      </c>
      <c r="G21" s="76" t="s">
        <v>32</v>
      </c>
      <c r="H21" s="67">
        <f>E21/POWER(2,30)</f>
        <v>8.0039634704589844</v>
      </c>
      <c r="I21" s="17" t="s">
        <v>55</v>
      </c>
      <c r="N21" s="2" t="s">
        <v>276</v>
      </c>
      <c r="O21">
        <v>64</v>
      </c>
      <c r="P21" t="s">
        <v>3</v>
      </c>
      <c r="Q21" s="10" t="s">
        <v>32</v>
      </c>
      <c r="R21">
        <f>POWER(2,16)</f>
        <v>65536</v>
      </c>
      <c r="S21" t="s">
        <v>41</v>
      </c>
    </row>
    <row r="22" spans="1:22" x14ac:dyDescent="0.25">
      <c r="N22" s="2" t="s">
        <v>237</v>
      </c>
      <c r="O22">
        <v>100</v>
      </c>
      <c r="P22" t="s">
        <v>3</v>
      </c>
      <c r="Q22" s="10" t="s">
        <v>32</v>
      </c>
      <c r="R22">
        <f>10*POWER(2,10)</f>
        <v>10240</v>
      </c>
      <c r="S22" t="s">
        <v>41</v>
      </c>
    </row>
    <row r="23" spans="1:22" x14ac:dyDescent="0.25">
      <c r="B23" t="s">
        <v>310</v>
      </c>
    </row>
    <row r="24" spans="1:22" x14ac:dyDescent="0.25">
      <c r="B24" s="21" t="s">
        <v>311</v>
      </c>
      <c r="C24" s="22"/>
      <c r="D24" s="22"/>
      <c r="E24" s="77">
        <f>E21/D17</f>
        <v>134284224</v>
      </c>
      <c r="N24" s="24" t="s">
        <v>56</v>
      </c>
      <c r="O24" s="21">
        <v>8</v>
      </c>
      <c r="P24" s="22" t="s">
        <v>319</v>
      </c>
      <c r="Q24" s="22">
        <f>O21/O24</f>
        <v>8</v>
      </c>
      <c r="R24" s="22" t="s">
        <v>3</v>
      </c>
      <c r="S24" s="71" t="s">
        <v>32</v>
      </c>
      <c r="T24" s="22">
        <f>POWER(2,13)</f>
        <v>8192</v>
      </c>
      <c r="U24" s="23" t="s">
        <v>41</v>
      </c>
    </row>
    <row r="25" spans="1:22" x14ac:dyDescent="0.25">
      <c r="O25" s="50" t="s">
        <v>320</v>
      </c>
      <c r="P25" s="79">
        <f>Q24</f>
        <v>8</v>
      </c>
      <c r="Q25" s="79" t="s">
        <v>3</v>
      </c>
      <c r="R25" s="80" t="s">
        <v>32</v>
      </c>
      <c r="S25" s="79">
        <f>POWER(2,13)</f>
        <v>8192</v>
      </c>
      <c r="T25" s="51" t="s">
        <v>41</v>
      </c>
    </row>
    <row r="26" spans="1:22" x14ac:dyDescent="0.25">
      <c r="A26" s="2" t="s">
        <v>56</v>
      </c>
      <c r="B26" s="2" t="s">
        <v>312</v>
      </c>
      <c r="C26">
        <v>8</v>
      </c>
      <c r="D26" t="s">
        <v>3</v>
      </c>
      <c r="E26" s="10" t="s">
        <v>32</v>
      </c>
      <c r="F26" s="24" t="s">
        <v>313</v>
      </c>
      <c r="G26" t="s">
        <v>41</v>
      </c>
      <c r="O26" s="21" t="s">
        <v>346</v>
      </c>
      <c r="P26" s="22"/>
      <c r="Q26" s="22"/>
      <c r="R26" s="22"/>
      <c r="S26" s="22"/>
      <c r="T26" s="22"/>
      <c r="U26" s="22"/>
      <c r="V26" s="23"/>
    </row>
    <row r="27" spans="1:22" x14ac:dyDescent="0.25">
      <c r="B27" s="106" t="s">
        <v>308</v>
      </c>
      <c r="C27" s="106"/>
      <c r="D27">
        <v>32</v>
      </c>
      <c r="E27" t="s">
        <v>41</v>
      </c>
    </row>
    <row r="29" spans="1:22" x14ac:dyDescent="0.25">
      <c r="B29" t="s">
        <v>314</v>
      </c>
      <c r="O29" t="s">
        <v>321</v>
      </c>
      <c r="T29">
        <v>7800</v>
      </c>
      <c r="U29" s="1" t="s">
        <v>323</v>
      </c>
    </row>
    <row r="30" spans="1:22" x14ac:dyDescent="0.25">
      <c r="B30" s="49" t="s">
        <v>267</v>
      </c>
      <c r="C30" s="67"/>
      <c r="D30" s="67"/>
      <c r="E30" s="67">
        <f>POWER(2,28)*POWER(2,13)</f>
        <v>2199023255552</v>
      </c>
      <c r="F30" s="67" t="s">
        <v>41</v>
      </c>
      <c r="G30" s="76" t="s">
        <v>32</v>
      </c>
      <c r="H30" s="67">
        <f>E30/POWER(2,40)</f>
        <v>2</v>
      </c>
      <c r="I30" s="17" t="s">
        <v>226</v>
      </c>
      <c r="O30" t="s">
        <v>322</v>
      </c>
      <c r="T30">
        <v>18010</v>
      </c>
      <c r="U30" s="1" t="s">
        <v>324</v>
      </c>
    </row>
    <row r="31" spans="1:22" x14ac:dyDescent="0.25">
      <c r="T31">
        <v>83045</v>
      </c>
      <c r="U31" s="1" t="s">
        <v>325</v>
      </c>
    </row>
    <row r="32" spans="1:22" x14ac:dyDescent="0.25">
      <c r="B32" t="s">
        <v>310</v>
      </c>
      <c r="N32" s="24" t="s">
        <v>50</v>
      </c>
      <c r="O32" s="56" t="s">
        <v>9</v>
      </c>
      <c r="P32" s="56" t="s">
        <v>21</v>
      </c>
      <c r="Q32" s="56" t="s">
        <v>326</v>
      </c>
      <c r="R32" s="56" t="s">
        <v>327</v>
      </c>
      <c r="S32" s="56" t="s">
        <v>328</v>
      </c>
    </row>
    <row r="33" spans="1:19" x14ac:dyDescent="0.25">
      <c r="B33" s="21" t="s">
        <v>311</v>
      </c>
      <c r="C33" s="22"/>
      <c r="D33" s="22"/>
      <c r="E33" s="77">
        <f>E30/D27</f>
        <v>68719476736</v>
      </c>
      <c r="O33" s="56">
        <v>0</v>
      </c>
      <c r="P33" s="3" t="s">
        <v>330</v>
      </c>
      <c r="Q33" s="41" t="s">
        <v>339</v>
      </c>
      <c r="R33" s="42" t="s">
        <v>345</v>
      </c>
      <c r="S33" s="43" t="s">
        <v>345</v>
      </c>
    </row>
    <row r="34" spans="1:19" x14ac:dyDescent="0.25">
      <c r="O34" s="56">
        <v>1</v>
      </c>
      <c r="P34" s="3" t="s">
        <v>331</v>
      </c>
      <c r="Q34" s="3" t="s">
        <v>331</v>
      </c>
      <c r="R34" s="41" t="s">
        <v>340</v>
      </c>
      <c r="S34" s="3" t="s">
        <v>329</v>
      </c>
    </row>
    <row r="35" spans="1:19" x14ac:dyDescent="0.25">
      <c r="A35" s="2" t="s">
        <v>67</v>
      </c>
      <c r="B35" s="78">
        <f>E24-1</f>
        <v>134284223</v>
      </c>
      <c r="O35" s="56">
        <v>2</v>
      </c>
      <c r="P35" s="3" t="s">
        <v>332</v>
      </c>
      <c r="Q35" s="3" t="s">
        <v>332</v>
      </c>
      <c r="R35" s="3" t="s">
        <v>332</v>
      </c>
      <c r="S35" s="3" t="s">
        <v>342</v>
      </c>
    </row>
    <row r="36" spans="1:19" x14ac:dyDescent="0.25">
      <c r="A36" s="2" t="s">
        <v>302</v>
      </c>
      <c r="B36" t="s">
        <v>315</v>
      </c>
      <c r="C36" s="10" t="s">
        <v>32</v>
      </c>
      <c r="D36" s="24" t="s">
        <v>316</v>
      </c>
      <c r="E36" t="s">
        <v>317</v>
      </c>
      <c r="F36" s="86" t="s">
        <v>32</v>
      </c>
      <c r="G36">
        <f>POWER(2,28)</f>
        <v>268435456</v>
      </c>
      <c r="H36" t="s">
        <v>41</v>
      </c>
      <c r="I36" s="86" t="s">
        <v>32</v>
      </c>
      <c r="J36" s="107">
        <f>(G36*G37)/POWER(2,30)</f>
        <v>1</v>
      </c>
      <c r="K36" s="109" t="s">
        <v>55</v>
      </c>
      <c r="O36" s="56">
        <v>3</v>
      </c>
      <c r="P36" s="3" t="s">
        <v>333</v>
      </c>
      <c r="Q36" s="3" t="s">
        <v>333</v>
      </c>
      <c r="R36" s="3" t="s">
        <v>333</v>
      </c>
      <c r="S36" s="42" t="s">
        <v>343</v>
      </c>
    </row>
    <row r="37" spans="1:19" x14ac:dyDescent="0.25">
      <c r="D37">
        <v>32</v>
      </c>
      <c r="E37" t="s">
        <v>318</v>
      </c>
      <c r="F37" s="87"/>
      <c r="G37">
        <v>4</v>
      </c>
      <c r="H37" t="s">
        <v>41</v>
      </c>
      <c r="I37" s="87"/>
      <c r="J37" s="108"/>
      <c r="K37" s="110"/>
      <c r="O37" s="56">
        <v>4</v>
      </c>
      <c r="P37" s="3" t="s">
        <v>334</v>
      </c>
      <c r="Q37" s="3" t="s">
        <v>334</v>
      </c>
      <c r="R37" s="3" t="s">
        <v>334</v>
      </c>
      <c r="S37" s="41" t="s">
        <v>341</v>
      </c>
    </row>
    <row r="38" spans="1:19" x14ac:dyDescent="0.25">
      <c r="O38" s="56">
        <v>5</v>
      </c>
      <c r="P38" s="41" t="s">
        <v>338</v>
      </c>
      <c r="Q38" s="3" t="s">
        <v>335</v>
      </c>
      <c r="R38" s="3" t="s">
        <v>335</v>
      </c>
      <c r="S38" s="3" t="s">
        <v>335</v>
      </c>
    </row>
    <row r="39" spans="1:19" x14ac:dyDescent="0.25">
      <c r="O39" s="56">
        <v>6</v>
      </c>
      <c r="P39" s="3" t="s">
        <v>336</v>
      </c>
      <c r="Q39" s="3" t="s">
        <v>336</v>
      </c>
      <c r="R39" s="3" t="s">
        <v>336</v>
      </c>
      <c r="S39" s="3" t="s">
        <v>336</v>
      </c>
    </row>
    <row r="40" spans="1:19" x14ac:dyDescent="0.25">
      <c r="O40" s="56">
        <v>7</v>
      </c>
      <c r="P40" s="3" t="s">
        <v>337</v>
      </c>
      <c r="Q40" s="42" t="s">
        <v>344</v>
      </c>
      <c r="R40" s="43" t="s">
        <v>344</v>
      </c>
      <c r="S40" s="43" t="s">
        <v>344</v>
      </c>
    </row>
  </sheetData>
  <mergeCells count="6">
    <mergeCell ref="K36:K37"/>
    <mergeCell ref="B17:C17"/>
    <mergeCell ref="B27:C27"/>
    <mergeCell ref="F36:F37"/>
    <mergeCell ref="I36:I37"/>
    <mergeCell ref="J36:J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Recuperatorio 2017</vt:lpstr>
      <vt:lpstr>2017 - TM</vt:lpstr>
      <vt:lpstr>2017 - TM #2</vt:lpstr>
      <vt:lpstr>2017 - TT</vt:lpstr>
      <vt:lpstr>2017 - TT #2</vt:lpstr>
      <vt:lpstr>Recuperatorio 2018</vt:lpstr>
      <vt:lpstr>2018 - TM</vt:lpstr>
      <vt:lpstr>2018 - TM #2</vt:lpstr>
      <vt:lpstr>2018 - TT</vt:lpstr>
      <vt:lpstr>2018 - TT #2</vt:lpstr>
      <vt:lpstr>Recuperatorio 2019</vt:lpstr>
      <vt:lpstr>2019 - TM</vt:lpstr>
      <vt:lpstr>2019 - 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</dc:creator>
  <cp:lastModifiedBy>Agus</cp:lastModifiedBy>
  <dcterms:created xsi:type="dcterms:W3CDTF">2015-06-05T18:19:34Z</dcterms:created>
  <dcterms:modified xsi:type="dcterms:W3CDTF">2022-08-02T04:56:48Z</dcterms:modified>
</cp:coreProperties>
</file>