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640" windowHeight="11160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/>
  <c r="J27"/>
  <c r="C16"/>
  <c r="D16" s="1"/>
  <c r="D8"/>
  <c r="J7" i="6"/>
  <c r="J16" i="1"/>
  <c r="I17" s="1"/>
  <c r="G11" i="4" l="1"/>
  <c r="G10"/>
  <c r="G9"/>
  <c r="G8"/>
  <c r="G7"/>
  <c r="G15"/>
  <c r="F15"/>
  <c r="G14"/>
  <c r="G6"/>
  <c r="H4"/>
  <c r="G4"/>
  <c r="G5" s="1"/>
  <c r="H5" s="1"/>
  <c r="F15" i="3"/>
  <c r="J22" i="1"/>
  <c r="J24"/>
  <c r="J21"/>
  <c r="I23" s="1"/>
  <c r="J23" s="1"/>
  <c r="C6"/>
  <c r="J4"/>
  <c r="J5"/>
  <c r="J6"/>
  <c r="G7" i="3" s="1"/>
  <c r="H7" s="1"/>
  <c r="J7" i="1"/>
  <c r="J8"/>
  <c r="J3"/>
  <c r="I9" s="1"/>
  <c r="J9" s="1"/>
  <c r="G11" i="3" s="1"/>
  <c r="H11" s="1"/>
  <c r="D4" i="1"/>
  <c r="D5"/>
  <c r="D7"/>
  <c r="C14" s="1"/>
  <c r="D3"/>
  <c r="B15" i="3"/>
  <c r="G13" l="1"/>
  <c r="H13" s="1"/>
  <c r="D14" i="1"/>
  <c r="D15"/>
  <c r="C17" s="1"/>
  <c r="D17" s="1"/>
  <c r="I25"/>
  <c r="J25" s="1"/>
  <c r="C6" i="2" s="1"/>
  <c r="D6" s="1"/>
  <c r="C13" i="3"/>
  <c r="D13" s="1"/>
  <c r="C3" i="2"/>
  <c r="D3" s="1"/>
  <c r="C4" s="1"/>
  <c r="D4" s="1"/>
  <c r="C8" i="3"/>
  <c r="D8" s="1"/>
  <c r="C11" s="1"/>
  <c r="D11" s="1"/>
  <c r="I10" i="1"/>
  <c r="J10" s="1"/>
  <c r="C10" i="3" s="1"/>
  <c r="D10" s="1"/>
  <c r="D6" i="1"/>
  <c r="C10" i="2" s="1"/>
  <c r="D10" s="1"/>
  <c r="I26" i="1" l="1"/>
  <c r="J26" s="1"/>
  <c r="C5" i="2"/>
  <c r="D5" s="1"/>
  <c r="G10" i="3"/>
  <c r="H10" s="1"/>
  <c r="G6"/>
  <c r="H6" s="1"/>
  <c r="C8" i="2"/>
  <c r="D8" s="1"/>
  <c r="C6" i="3"/>
  <c r="D6" s="1"/>
  <c r="D22" i="1"/>
  <c r="I15" s="1"/>
  <c r="J15" s="1"/>
  <c r="C22" l="1"/>
  <c r="I16"/>
  <c r="G17" i="3"/>
  <c r="H17" s="1"/>
  <c r="C17"/>
  <c r="D17" s="1"/>
  <c r="J17" i="1"/>
  <c r="J13"/>
  <c r="J14" s="1"/>
  <c r="I18" s="1"/>
  <c r="J18" s="1"/>
  <c r="C7" i="3" l="1"/>
  <c r="D7" s="1"/>
  <c r="C9" s="1"/>
  <c r="D9" s="1"/>
  <c r="C12" s="1"/>
  <c r="D12" s="1"/>
  <c r="C14" s="1"/>
  <c r="D14" s="1"/>
  <c r="C16" s="1"/>
  <c r="D16" s="1"/>
  <c r="C7" i="2" s="1"/>
  <c r="D7" s="1"/>
  <c r="C9" s="1"/>
  <c r="D9" s="1"/>
  <c r="G8" i="3"/>
  <c r="H8" s="1"/>
  <c r="G9" s="1"/>
  <c r="H9" s="1"/>
  <c r="G12" s="1"/>
  <c r="H12" s="1"/>
  <c r="G14" s="1"/>
  <c r="H14" s="1"/>
  <c r="G16" s="1"/>
  <c r="H16" s="1"/>
  <c r="I5" i="5"/>
  <c r="C6"/>
  <c r="D6"/>
  <c r="H3"/>
  <c r="H5"/>
  <c r="H4"/>
  <c r="I3"/>
  <c r="I4"/>
  <c r="C7"/>
  <c r="D7"/>
  <c r="C5"/>
  <c r="D5"/>
</calcChain>
</file>

<file path=xl/sharedStrings.xml><?xml version="1.0" encoding="utf-8"?>
<sst xmlns="http://schemas.openxmlformats.org/spreadsheetml/2006/main" count="230" uniqueCount="151">
  <si>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</si>
  <si>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</si>
  <si>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</si>
  <si>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</si>
  <si>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</si>
  <si>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</si>
  <si>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</si>
  <si>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</si>
  <si>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</si>
  <si>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</si>
  <si>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</si>
  <si>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</si>
  <si>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</si>
  <si>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</si>
  <si>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</si>
  <si>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</si>
  <si>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</si>
  <si>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</si>
  <si>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</si>
  <si>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</si>
  <si>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</si>
  <si>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</si>
  <si>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</si>
  <si>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</si>
  <si>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</si>
  <si>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</si>
  <si>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</si>
  <si>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</si>
  <si>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</si>
  <si>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</si>
  <si>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</si>
  <si>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</si>
  <si>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</si>
  <si>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</si>
  <si>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</si>
  <si>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</si>
  <si>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</si>
  <si>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</si>
  <si>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</si>
  <si>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</si>
  <si>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</si>
  <si>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</si>
  <si>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</si>
  <si>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</si>
  <si>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</si>
  <si>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</si>
  <si>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</si>
  <si>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</si>
  <si>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</si>
  <si>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</si>
  <si>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</si>
  <si>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</si>
  <si>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</si>
  <si>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</si>
  <si>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</si>
  <si>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</si>
  <si>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</si>
  <si>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</si>
  <si>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FIFO</t>
  </si>
  <si>
    <t>Costo de fabricación</t>
  </si>
  <si>
    <t>Precio unitario de venta</t>
  </si>
  <si>
    <t>UN (Utilidad Neta)</t>
  </si>
  <si>
    <t>Utilidad Bruta</t>
  </si>
  <si>
    <t>Sistema de costeo</t>
  </si>
  <si>
    <t>DIRECTO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</si>
  <si>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</si>
  <si>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</si>
  <si>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</si>
  <si>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</si>
  <si>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</si>
  <si>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</si>
  <si>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</si>
  <si>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</si>
  <si>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</si>
  <si>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</si>
  <si>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</si>
  <si>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</si>
  <si>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</si>
  <si>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</si>
  <si>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</si>
  <si>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</si>
  <si>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</si>
  <si>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</si>
  <si>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</si>
  <si>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</si>
  <si>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</si>
  <si>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</si>
  <si>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</si>
  <si>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</si>
  <si>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</si>
  <si>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</si>
  <si>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</si>
  <si>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LINEAL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</si>
  <si>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</si>
  <si>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</si>
  <si>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</si>
  <si>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</si>
  <si>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</si>
  <si>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</si>
  <si>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</si>
  <si>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</si>
  <si>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</si>
  <si>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Una empresa que lleva SISTEMA DE COSTEO DIRECTO presentó la siguiente información del 2019</t>
  </si>
  <si>
    <t>AÑO</t>
  </si>
  <si>
    <t>VENTAS</t>
  </si>
  <si>
    <t>COSTO TOTAL DE PRODUCCIÓN</t>
  </si>
  <si>
    <t>GASTOS DE COMERCIALIZACIÓN VARIABLES</t>
  </si>
  <si>
    <t>GASTOS DE FABRICACIÓN FIJOS</t>
  </si>
  <si>
    <t>GASTOS DE COMERCIALIZACIÓN FIJOS</t>
  </si>
  <si>
    <t>GASTOS ADMINISTRATIVOS Y FINANCIEROS FIJOS</t>
  </si>
  <si>
    <t>CANTIDAD PRODUCIDA</t>
  </si>
  <si>
    <t>CANTIDAD VENDIDA</t>
  </si>
  <si>
    <t>1,098.00</t>
  </si>
  <si>
    <t>691.20</t>
  </si>
  <si>
    <t>43.00</t>
  </si>
  <si>
    <t>106.00</t>
  </si>
  <si>
    <t>96.00</t>
  </si>
  <si>
    <t>36.80</t>
  </si>
  <si>
    <t>432.00</t>
  </si>
  <si>
    <t>360.00</t>
  </si>
  <si>
    <t>Si al finalizar el ejercicio del año 2019, se tiene</t>
  </si>
  <si>
    <t>y durante el año 2018 se tuvo</t>
  </si>
  <si>
    <t>Pasivo Exigible Corriente</t>
  </si>
  <si>
    <t>Pasivo Exigible No Corriente</t>
  </si>
  <si>
    <t>Determine la evolución de</t>
  </si>
  <si>
    <t>a)</t>
  </si>
  <si>
    <t>El cuadro de resultados para el año 2019</t>
  </si>
  <si>
    <t>b)</t>
  </si>
  <si>
    <t>la evolución de la situación financiera</t>
  </si>
  <si>
    <t>c)</t>
  </si>
  <si>
    <t>la evolución de la situación económica</t>
  </si>
  <si>
    <t>Activo total</t>
  </si>
  <si>
    <t>Pasivo total</t>
  </si>
  <si>
    <t>Empeoró, por lo que la empresa tendrá menor capacidad para afrontar pagos respecto al año anterior</t>
  </si>
  <si>
    <t>Empeoró, por lo que la empresa podrá responder con menor efectividad a las diferentes situaciones que se le presenten</t>
  </si>
  <si>
    <t>ROI</t>
  </si>
  <si>
    <t>Empeoró</t>
  </si>
  <si>
    <t>Indique si las siguientes afirmaciones son VERDADERAS (v) o FALSAS (F), marcando con una X en el casillero que considere correcto</t>
  </si>
  <si>
    <t>a) Una empresa que obtuvo una ganancia de $13.500.000 tiene una WACC (Tasa promedio ponderada de costo de capital) de 25%,</t>
  </si>
  <si>
    <t>si con el mismo endeudamiento, la misma tasa de deuda (Kd) y la misma tasa de costo de capital propio (Ke) la ganancia</t>
  </si>
  <si>
    <t>hubiera disminuído a $5.000.000, la WACC de la empresa habría sido menor.</t>
  </si>
  <si>
    <t>X</t>
  </si>
  <si>
    <t>b) Si el gobierno decidiera una disminución en la tasa del impuesto a las ganancias, se produciría una disminución en la WACC (Tasa promedio ponderada de costo de capital)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</si>
  <si>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</si>
  <si>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</si>
  <si>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</si>
  <si>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</si>
  <si>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</si>
  <si>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</si>
  <si>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Capital invertido por accionistas</t>
  </si>
  <si>
    <t>Patrimonio Neto</t>
  </si>
</sst>
</file>

<file path=xl/styles.xml><?xml version="1.0" encoding="utf-8"?>
<styleSheet xmlns="http://schemas.openxmlformats.org/spreadsheetml/2006/main">
  <numFmts count="3">
    <numFmt numFmtId="7" formatCode="&quot;$&quot;\ #,##0.00;\-&quot;$&quot;\ #,##0.00"/>
    <numFmt numFmtId="44" formatCode="_-&quot;$&quot;\ * #,##0.00_-;\-&quot;$&quot;\ * #,##0.00_-;_-&quot;$&quot;\ * &quot;-&quot;??_-;_-@_-"/>
    <numFmt numFmtId="164" formatCode="&quot;$&quot;\ 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Fill="1" applyBorder="1"/>
    <xf numFmtId="2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9" fontId="0" fillId="0" borderId="2" xfId="0" applyNumberFormat="1" applyBorder="1" applyAlignment="1"/>
    <xf numFmtId="0" fontId="0" fillId="0" borderId="2" xfId="0" applyBorder="1" applyAlignment="1"/>
    <xf numFmtId="10" fontId="0" fillId="0" borderId="2" xfId="0" applyNumberFormat="1" applyBorder="1" applyAlignment="1"/>
    <xf numFmtId="10" fontId="0" fillId="0" borderId="3" xfId="0" applyNumberFormat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7" fontId="0" fillId="0" borderId="1" xfId="1" applyNumberFormat="1" applyFont="1" applyBorder="1"/>
    <xf numFmtId="10" fontId="0" fillId="0" borderId="0" xfId="0" applyNumberFormat="1"/>
    <xf numFmtId="10" fontId="0" fillId="0" borderId="1" xfId="0" applyNumberFormat="1" applyBorder="1" applyAlignment="1"/>
    <xf numFmtId="0" fontId="0" fillId="4" borderId="1" xfId="0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/>
    <xf numFmtId="0" fontId="0" fillId="5" borderId="1" xfId="0" applyFill="1" applyBorder="1"/>
    <xf numFmtId="164" fontId="0" fillId="5" borderId="1" xfId="0" applyNumberFormat="1" applyFill="1" applyBorder="1"/>
    <xf numFmtId="164" fontId="0" fillId="5" borderId="1" xfId="0" applyNumberFormat="1" applyFill="1" applyBorder="1" applyAlignment="1"/>
    <xf numFmtId="0" fontId="0" fillId="0" borderId="1" xfId="0" applyFill="1" applyBorder="1" applyAlignment="1"/>
    <xf numFmtId="0" fontId="0" fillId="5" borderId="1" xfId="0" applyFill="1" applyBorder="1" applyAlignment="1"/>
    <xf numFmtId="2" fontId="0" fillId="5" borderId="1" xfId="0" applyNumberFormat="1" applyFill="1" applyBorder="1"/>
    <xf numFmtId="10" fontId="0" fillId="5" borderId="1" xfId="0" applyNumberFormat="1" applyFill="1" applyBorder="1"/>
    <xf numFmtId="0" fontId="0" fillId="4" borderId="0" xfId="0" applyFill="1"/>
    <xf numFmtId="2" fontId="0" fillId="5" borderId="1" xfId="0" applyNumberFormat="1" applyFill="1" applyBorder="1" applyAlignment="1"/>
    <xf numFmtId="0" fontId="0" fillId="4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10" workbookViewId="0">
      <selection activeCell="G30" sqref="G30"/>
    </sheetView>
  </sheetViews>
  <sheetFormatPr baseColWidth="10" defaultRowHeight="15"/>
  <cols>
    <col min="3" max="3" width="14.42578125" customWidth="1"/>
    <col min="4" max="4" width="18.5703125" customWidth="1"/>
    <col min="5" max="5" width="13.28515625" customWidth="1"/>
    <col min="6" max="6" width="18.85546875" customWidth="1"/>
    <col min="7" max="7" width="17.42578125" customWidth="1"/>
  </cols>
  <sheetData>
    <row r="1" spans="1:10">
      <c r="A1" t="s">
        <v>102</v>
      </c>
    </row>
    <row r="2" spans="1:10" ht="60">
      <c r="A2" s="25" t="s">
        <v>103</v>
      </c>
      <c r="B2" s="25" t="s">
        <v>104</v>
      </c>
      <c r="C2" s="25" t="s">
        <v>105</v>
      </c>
      <c r="D2" s="25" t="s">
        <v>106</v>
      </c>
      <c r="E2" s="25" t="s">
        <v>107</v>
      </c>
      <c r="F2" s="25" t="s">
        <v>108</v>
      </c>
      <c r="G2" s="25" t="s">
        <v>109</v>
      </c>
      <c r="H2" s="25" t="s">
        <v>110</v>
      </c>
      <c r="I2" s="25" t="s">
        <v>111</v>
      </c>
    </row>
    <row r="3" spans="1:10">
      <c r="A3" s="3">
        <v>2019</v>
      </c>
      <c r="B3" s="3" t="s">
        <v>112</v>
      </c>
      <c r="C3" s="3" t="s">
        <v>113</v>
      </c>
      <c r="D3" s="3" t="s">
        <v>114</v>
      </c>
      <c r="E3" s="3" t="s">
        <v>115</v>
      </c>
      <c r="F3" s="3" t="s">
        <v>116</v>
      </c>
      <c r="G3" s="3" t="s">
        <v>117</v>
      </c>
      <c r="H3" s="3" t="s">
        <v>118</v>
      </c>
      <c r="I3" s="3" t="s">
        <v>119</v>
      </c>
    </row>
    <row r="5" spans="1:10">
      <c r="A5" t="s">
        <v>120</v>
      </c>
      <c r="F5" t="s">
        <v>121</v>
      </c>
    </row>
    <row r="6" spans="1:10">
      <c r="A6" s="26" t="s">
        <v>0</v>
      </c>
      <c r="B6" s="26"/>
      <c r="C6" s="26"/>
      <c r="D6" s="10">
        <v>2000</v>
      </c>
      <c r="F6" s="26" t="s">
        <v>4</v>
      </c>
      <c r="G6" s="26"/>
      <c r="H6" s="15">
        <v>0.5</v>
      </c>
    </row>
    <row r="7" spans="1:10">
      <c r="A7" s="26" t="s">
        <v>1</v>
      </c>
      <c r="B7" s="26"/>
      <c r="C7" s="26"/>
      <c r="D7" s="10">
        <v>100</v>
      </c>
      <c r="F7" s="26" t="s">
        <v>5</v>
      </c>
      <c r="G7" s="26"/>
      <c r="H7" s="12">
        <v>0.18</v>
      </c>
      <c r="I7" s="2" t="s">
        <v>135</v>
      </c>
      <c r="J7" s="28">
        <f>H6*H7</f>
        <v>0.09</v>
      </c>
    </row>
    <row r="8" spans="1:10">
      <c r="A8" s="26" t="s">
        <v>122</v>
      </c>
      <c r="B8" s="26"/>
      <c r="C8" s="26"/>
      <c r="D8" s="10">
        <v>260</v>
      </c>
      <c r="F8" s="26" t="s">
        <v>6</v>
      </c>
      <c r="G8" s="26"/>
      <c r="H8" s="15">
        <v>0.8</v>
      </c>
    </row>
    <row r="9" spans="1:10">
      <c r="A9" s="26" t="s">
        <v>2</v>
      </c>
      <c r="B9" s="26"/>
      <c r="C9" s="26"/>
      <c r="D9" s="27">
        <v>70</v>
      </c>
      <c r="F9" s="26" t="s">
        <v>7</v>
      </c>
      <c r="G9" s="26"/>
      <c r="H9" s="15">
        <v>4</v>
      </c>
    </row>
    <row r="10" spans="1:10">
      <c r="A10" s="26" t="s">
        <v>3</v>
      </c>
      <c r="B10" s="26"/>
      <c r="C10" s="26"/>
      <c r="D10" s="27">
        <v>100</v>
      </c>
      <c r="F10" s="26" t="s">
        <v>8</v>
      </c>
      <c r="G10" s="26"/>
      <c r="H10" s="15">
        <v>1.05</v>
      </c>
    </row>
    <row r="11" spans="1:10">
      <c r="A11" s="26" t="s">
        <v>123</v>
      </c>
      <c r="B11" s="26"/>
      <c r="C11" s="26"/>
      <c r="D11" s="27">
        <v>65</v>
      </c>
      <c r="F11" s="26" t="s">
        <v>9</v>
      </c>
      <c r="G11" s="26"/>
      <c r="H11" s="12">
        <v>0.35</v>
      </c>
    </row>
    <row r="13" spans="1:10">
      <c r="A13" t="s">
        <v>124</v>
      </c>
    </row>
    <row r="14" spans="1:10">
      <c r="A14" t="s">
        <v>125</v>
      </c>
      <c r="B14" t="s">
        <v>126</v>
      </c>
    </row>
    <row r="15" spans="1:10">
      <c r="A15" t="s">
        <v>127</v>
      </c>
      <c r="B15" t="s">
        <v>128</v>
      </c>
    </row>
    <row r="16" spans="1:10">
      <c r="A16" t="s">
        <v>129</v>
      </c>
      <c r="B16" t="s">
        <v>130</v>
      </c>
    </row>
    <row r="18" spans="1:5">
      <c r="A18" t="s">
        <v>137</v>
      </c>
    </row>
    <row r="20" spans="1:5">
      <c r="A20" t="s">
        <v>138</v>
      </c>
    </row>
    <row r="21" spans="1:5">
      <c r="A21" t="s">
        <v>139</v>
      </c>
    </row>
    <row r="22" spans="1:5">
      <c r="A22" t="s">
        <v>140</v>
      </c>
    </row>
    <row r="24" spans="1:5">
      <c r="D24" s="5" t="b">
        <v>1</v>
      </c>
      <c r="E24" s="5"/>
    </row>
    <row r="25" spans="1:5">
      <c r="D25" s="5" t="b">
        <v>0</v>
      </c>
      <c r="E25" s="42" t="s">
        <v>141</v>
      </c>
    </row>
    <row r="28" spans="1:5">
      <c r="A28" t="s">
        <v>142</v>
      </c>
    </row>
    <row r="30" spans="1:5">
      <c r="D30" s="5" t="b">
        <v>1</v>
      </c>
      <c r="E30" s="5"/>
    </row>
    <row r="31" spans="1:5">
      <c r="D31" s="5" t="b">
        <v>0</v>
      </c>
      <c r="E31" s="42" t="s">
        <v>141</v>
      </c>
    </row>
  </sheetData>
  <mergeCells count="12">
    <mergeCell ref="F6:G6"/>
    <mergeCell ref="F7:G7"/>
    <mergeCell ref="F8:G8"/>
    <mergeCell ref="F9:G9"/>
    <mergeCell ref="F10:G10"/>
    <mergeCell ref="F11:G11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B14" sqref="B14"/>
    </sheetView>
  </sheetViews>
  <sheetFormatPr baseColWidth="10" defaultColWidth="9.140625" defaultRowHeight="15"/>
  <cols>
    <col min="1" max="1" width="47.85546875" customWidth="1"/>
    <col min="2" max="2" width="13" customWidth="1"/>
    <col min="3" max="3" width="11.7109375" customWidth="1"/>
    <col min="4" max="4" width="11.42578125" customWidth="1"/>
    <col min="7" max="7" width="44.140625" customWidth="1"/>
    <col min="8" max="8" width="13.140625" customWidth="1"/>
    <col min="9" max="10" width="11.42578125" customWidth="1"/>
  </cols>
  <sheetData>
    <row r="1" spans="1:10">
      <c r="B1" s="1"/>
    </row>
    <row r="2" spans="1:10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>
      <c r="A3" s="4" t="s">
        <v>1</v>
      </c>
      <c r="B3" s="9">
        <v>100</v>
      </c>
      <c r="C3" s="10"/>
      <c r="D3" s="10">
        <f>IF(B3&gt;0,B3,C3)</f>
        <v>100</v>
      </c>
      <c r="G3" s="7" t="s">
        <v>17</v>
      </c>
      <c r="H3" s="9">
        <v>43</v>
      </c>
      <c r="I3" s="10"/>
      <c r="J3" s="10">
        <f>IF(H3&gt;0,H3,I3)</f>
        <v>43</v>
      </c>
    </row>
    <row r="4" spans="1:10">
      <c r="A4" s="4" t="s">
        <v>2</v>
      </c>
      <c r="B4" s="9">
        <v>70</v>
      </c>
      <c r="C4" s="10"/>
      <c r="D4" s="10">
        <f t="shared" ref="D4:D7" si="0">IF(B4&gt;0,B4,C4)</f>
        <v>70</v>
      </c>
      <c r="G4" s="4" t="s">
        <v>18</v>
      </c>
      <c r="H4" s="9">
        <v>96</v>
      </c>
      <c r="I4" s="10"/>
      <c r="J4" s="10">
        <f t="shared" ref="J4:J10" si="1">IF(H4&gt;0,H4,I4)</f>
        <v>96</v>
      </c>
    </row>
    <row r="5" spans="1:10">
      <c r="A5" s="4" t="s">
        <v>3</v>
      </c>
      <c r="B5" s="9">
        <v>100</v>
      </c>
      <c r="C5" s="10"/>
      <c r="D5" s="10">
        <f t="shared" si="0"/>
        <v>100</v>
      </c>
      <c r="G5" s="5" t="s">
        <v>20</v>
      </c>
      <c r="H5" s="9"/>
      <c r="I5" s="10"/>
      <c r="J5" s="10">
        <f t="shared" si="1"/>
        <v>0</v>
      </c>
    </row>
    <row r="6" spans="1:10">
      <c r="A6" s="4" t="s">
        <v>14</v>
      </c>
      <c r="B6" s="9">
        <v>1098</v>
      </c>
      <c r="C6" s="10">
        <f>B25*B24</f>
        <v>0</v>
      </c>
      <c r="D6" s="10">
        <f t="shared" si="0"/>
        <v>1098</v>
      </c>
      <c r="G6" s="4" t="s">
        <v>19</v>
      </c>
      <c r="H6" s="9">
        <v>106</v>
      </c>
      <c r="I6" s="10"/>
      <c r="J6" s="10">
        <f t="shared" si="1"/>
        <v>106</v>
      </c>
    </row>
    <row r="7" spans="1:10">
      <c r="A7" s="4" t="s">
        <v>48</v>
      </c>
      <c r="B7" s="10"/>
      <c r="C7" s="10"/>
      <c r="D7" s="10">
        <f t="shared" si="0"/>
        <v>0</v>
      </c>
      <c r="G7" s="4" t="s">
        <v>21</v>
      </c>
      <c r="H7" s="10"/>
      <c r="I7" s="10"/>
      <c r="J7" s="10">
        <f t="shared" si="1"/>
        <v>0</v>
      </c>
    </row>
    <row r="8" spans="1:10">
      <c r="A8" s="4" t="s">
        <v>147</v>
      </c>
      <c r="B8" s="10">
        <v>5000</v>
      </c>
      <c r="C8" s="10"/>
      <c r="D8" s="10">
        <f t="shared" ref="D8" si="2">IF(B8&gt;0,B8,C8)</f>
        <v>5000</v>
      </c>
      <c r="G8" s="4" t="s">
        <v>22</v>
      </c>
      <c r="H8" s="10">
        <v>36.799999999999997</v>
      </c>
      <c r="I8" s="10"/>
      <c r="J8" s="10">
        <f t="shared" si="1"/>
        <v>36.799999999999997</v>
      </c>
    </row>
    <row r="9" spans="1:10">
      <c r="A9" s="4" t="s">
        <v>148</v>
      </c>
      <c r="B9" s="10"/>
      <c r="C9" s="10"/>
      <c r="D9" s="10">
        <v>65000</v>
      </c>
      <c r="G9" s="4" t="s">
        <v>43</v>
      </c>
      <c r="H9" s="9"/>
      <c r="I9" s="10">
        <f>J3+J5+J7</f>
        <v>43</v>
      </c>
      <c r="J9" s="10">
        <f t="shared" si="1"/>
        <v>43</v>
      </c>
    </row>
    <row r="10" spans="1:10">
      <c r="A10" s="4" t="s">
        <v>149</v>
      </c>
      <c r="B10" s="10"/>
      <c r="C10" s="10"/>
      <c r="D10" s="10">
        <v>625000</v>
      </c>
      <c r="G10" s="4" t="s">
        <v>42</v>
      </c>
      <c r="H10" s="9"/>
      <c r="I10" s="10">
        <f>J4+J6+J8</f>
        <v>238.8</v>
      </c>
      <c r="J10" s="10">
        <f t="shared" si="1"/>
        <v>238.8</v>
      </c>
    </row>
    <row r="12" spans="1:10">
      <c r="A12" s="6" t="s">
        <v>33</v>
      </c>
      <c r="B12" s="6" t="s">
        <v>12</v>
      </c>
      <c r="C12" s="6" t="s">
        <v>11</v>
      </c>
      <c r="D12" s="6" t="s">
        <v>45</v>
      </c>
      <c r="G12" s="6" t="s">
        <v>13</v>
      </c>
      <c r="H12" s="6" t="s">
        <v>12</v>
      </c>
      <c r="I12" s="6" t="s">
        <v>11</v>
      </c>
      <c r="J12" s="6" t="s">
        <v>45</v>
      </c>
    </row>
    <row r="13" spans="1:10">
      <c r="A13" s="4" t="s">
        <v>9</v>
      </c>
      <c r="B13" s="29">
        <v>0.2</v>
      </c>
      <c r="C13" s="3" t="s">
        <v>46</v>
      </c>
      <c r="D13" s="3" t="s">
        <v>46</v>
      </c>
      <c r="G13" s="4" t="s">
        <v>54</v>
      </c>
      <c r="H13" s="9"/>
      <c r="I13" s="10"/>
      <c r="J13" s="10">
        <f t="shared" ref="J13:J18" si="3">IF(H13&gt;0,H13,I13)</f>
        <v>0</v>
      </c>
    </row>
    <row r="14" spans="1:10">
      <c r="A14" s="36" t="s">
        <v>143</v>
      </c>
      <c r="B14" s="12">
        <v>0.6</v>
      </c>
      <c r="C14" s="12">
        <f>IFERROR(D7/D8,0)</f>
        <v>0</v>
      </c>
      <c r="D14" s="12">
        <f>IF(B14&gt;0,B14,C14)</f>
        <v>0.6</v>
      </c>
      <c r="G14" s="4" t="s">
        <v>55</v>
      </c>
      <c r="H14" s="10"/>
      <c r="I14" s="10"/>
      <c r="J14" s="10">
        <f t="shared" si="3"/>
        <v>0</v>
      </c>
    </row>
    <row r="15" spans="1:10">
      <c r="A15" s="36" t="s">
        <v>146</v>
      </c>
      <c r="B15" s="12"/>
      <c r="C15" s="12">
        <f>D14-(D14*B13)</f>
        <v>0.48</v>
      </c>
      <c r="D15" s="12">
        <f>IF(B15&gt;0,B15,C15)</f>
        <v>0.48</v>
      </c>
      <c r="G15" s="5" t="s">
        <v>53</v>
      </c>
      <c r="H15" s="10"/>
      <c r="I15" s="10">
        <f>J16/D22</f>
        <v>1.6</v>
      </c>
      <c r="J15" s="10">
        <f t="shared" si="3"/>
        <v>1.6</v>
      </c>
    </row>
    <row r="16" spans="1:10">
      <c r="A16" s="36" t="s">
        <v>144</v>
      </c>
      <c r="B16" s="12"/>
      <c r="C16" s="12">
        <f>IFERROR(D9/D10,0)</f>
        <v>0.104</v>
      </c>
      <c r="D16" s="12">
        <f>IF(B16&gt;0,B16,C16)</f>
        <v>0.104</v>
      </c>
      <c r="G16" s="4" t="s">
        <v>16</v>
      </c>
      <c r="H16" s="9">
        <v>691.2</v>
      </c>
      <c r="I16" s="10">
        <f>J15*D22</f>
        <v>691.2</v>
      </c>
      <c r="J16" s="10">
        <f>IF(H16&gt;0,H16,I16)</f>
        <v>691.2</v>
      </c>
    </row>
    <row r="17" spans="1:10">
      <c r="A17" s="36" t="s">
        <v>145</v>
      </c>
      <c r="B17" s="12"/>
      <c r="C17" s="12">
        <f>IFERROR((D16*(J27/(J27+D8)))+(D15*(D8/(D8+J27))),0)</f>
        <v>0.35466666666666663</v>
      </c>
      <c r="D17" s="12">
        <f>IF(B17&gt;0,B17,C17)</f>
        <v>0.35466666666666663</v>
      </c>
      <c r="G17" s="4" t="s">
        <v>59</v>
      </c>
      <c r="H17" s="9"/>
      <c r="I17" s="10">
        <f>J16</f>
        <v>691.2</v>
      </c>
      <c r="J17" s="10">
        <f t="shared" si="3"/>
        <v>691.2</v>
      </c>
    </row>
    <row r="18" spans="1:10">
      <c r="G18" s="4" t="s">
        <v>36</v>
      </c>
      <c r="H18" s="10"/>
      <c r="I18" s="10">
        <f>IF(B19="FIFO",IF(B23&gt;B24,B24*J13,J14+((B24-B23)*J15)))</f>
        <v>576</v>
      </c>
      <c r="J18" s="10">
        <f t="shared" si="3"/>
        <v>576</v>
      </c>
    </row>
    <row r="19" spans="1:10">
      <c r="A19" s="6" t="s">
        <v>57</v>
      </c>
      <c r="B19" s="3" t="s">
        <v>58</v>
      </c>
    </row>
    <row r="20" spans="1:10">
      <c r="G20" s="6" t="s">
        <v>26</v>
      </c>
      <c r="H20" s="6" t="s">
        <v>12</v>
      </c>
      <c r="I20" s="6" t="s">
        <v>11</v>
      </c>
      <c r="J20" s="6" t="s">
        <v>45</v>
      </c>
    </row>
    <row r="21" spans="1:10">
      <c r="A21" s="6" t="s">
        <v>23</v>
      </c>
      <c r="B21" s="6" t="s">
        <v>12</v>
      </c>
      <c r="C21" s="6" t="s">
        <v>11</v>
      </c>
      <c r="D21" s="6" t="s">
        <v>45</v>
      </c>
      <c r="G21" s="5" t="s">
        <v>30</v>
      </c>
      <c r="H21" s="10">
        <v>65</v>
      </c>
      <c r="I21" s="10"/>
      <c r="J21" s="10">
        <f>IF(H21&gt;0,H21,I21)</f>
        <v>65</v>
      </c>
    </row>
    <row r="22" spans="1:10">
      <c r="A22" s="5" t="s">
        <v>24</v>
      </c>
      <c r="B22" s="5">
        <v>432</v>
      </c>
      <c r="C22" s="5">
        <f>J16/J15</f>
        <v>432</v>
      </c>
      <c r="D22" s="5">
        <f>IF(B22&gt;0,B22,C22)</f>
        <v>432</v>
      </c>
      <c r="G22" s="5" t="s">
        <v>29</v>
      </c>
      <c r="H22" s="10">
        <v>260</v>
      </c>
      <c r="I22" s="10"/>
      <c r="J22" s="10">
        <f t="shared" ref="J22:J24" si="4">IF(H22&gt;0,H22,I22)</f>
        <v>260</v>
      </c>
    </row>
    <row r="23" spans="1:10">
      <c r="A23" s="5" t="s">
        <v>52</v>
      </c>
      <c r="B23" s="5"/>
      <c r="C23" s="3" t="s">
        <v>46</v>
      </c>
      <c r="D23" s="3" t="s">
        <v>46</v>
      </c>
      <c r="G23" s="5" t="s">
        <v>132</v>
      </c>
      <c r="H23" s="10"/>
      <c r="I23" s="10">
        <f>J21+J22</f>
        <v>325</v>
      </c>
      <c r="J23" s="10">
        <f t="shared" ref="J23" si="5">IF(H23&gt;0,H23,I23)</f>
        <v>325</v>
      </c>
    </row>
    <row r="24" spans="1:10">
      <c r="A24" s="5" t="s">
        <v>25</v>
      </c>
      <c r="B24" s="5">
        <v>360</v>
      </c>
      <c r="C24" s="3" t="s">
        <v>46</v>
      </c>
      <c r="D24" s="3" t="s">
        <v>46</v>
      </c>
      <c r="G24" s="5" t="s">
        <v>27</v>
      </c>
      <c r="H24" s="10"/>
      <c r="I24" s="10"/>
      <c r="J24" s="10">
        <f>IF(H24&gt;0,H24,I24)</f>
        <v>0</v>
      </c>
    </row>
    <row r="25" spans="1:10">
      <c r="A25" s="5" t="s">
        <v>60</v>
      </c>
      <c r="B25" s="10"/>
      <c r="C25" s="11" t="s">
        <v>46</v>
      </c>
      <c r="D25" s="11" t="s">
        <v>46</v>
      </c>
      <c r="G25" s="5" t="s">
        <v>28</v>
      </c>
      <c r="H25" s="10"/>
      <c r="I25" s="10">
        <f>D3+D4+D5</f>
        <v>270</v>
      </c>
      <c r="J25" s="10">
        <f>IF(H25&gt;0,H25,I25)</f>
        <v>270</v>
      </c>
    </row>
    <row r="26" spans="1:10">
      <c r="G26" s="5" t="s">
        <v>131</v>
      </c>
      <c r="H26" s="10"/>
      <c r="I26" s="10">
        <f>J24+J25</f>
        <v>270</v>
      </c>
      <c r="J26" s="10">
        <f t="shared" ref="J26:J27" si="6">IF(H26&gt;0,H26,I26)</f>
        <v>270</v>
      </c>
    </row>
    <row r="27" spans="1:10">
      <c r="G27" s="4" t="s">
        <v>150</v>
      </c>
      <c r="H27" s="10">
        <v>2500</v>
      </c>
      <c r="I27" s="11"/>
      <c r="J27" s="10">
        <f t="shared" si="6"/>
        <v>2500</v>
      </c>
    </row>
    <row r="28" spans="1:10">
      <c r="G28" s="4" t="s">
        <v>0</v>
      </c>
      <c r="H28" s="10">
        <v>2000</v>
      </c>
      <c r="I28" s="11" t="s">
        <v>46</v>
      </c>
      <c r="J28" s="11" t="s">
        <v>46</v>
      </c>
    </row>
  </sheetData>
  <dataValidations count="1">
    <dataValidation type="list" allowBlank="1" showInputMessage="1" showErrorMessage="1" sqref="B19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E18" sqref="E18"/>
    </sheetView>
  </sheetViews>
  <sheetFormatPr baseColWidth="10" defaultRowHeight="15"/>
  <cols>
    <col min="1" max="1" width="35.85546875" customWidth="1"/>
    <col min="2" max="2" width="14.140625" customWidth="1"/>
    <col min="3" max="4" width="11.42578125" customWidth="1"/>
    <col min="5" max="5" width="35.85546875" customWidth="1"/>
    <col min="6" max="6" width="14.140625" customWidth="1"/>
  </cols>
  <sheetData>
    <row r="2" spans="1:8">
      <c r="A2" s="6" t="s">
        <v>63</v>
      </c>
      <c r="B2" s="3" t="s">
        <v>64</v>
      </c>
    </row>
    <row r="4" spans="1:8">
      <c r="A4" s="17" t="s">
        <v>37</v>
      </c>
      <c r="B4" s="17"/>
      <c r="C4" s="17"/>
      <c r="D4" s="17"/>
      <c r="E4" s="17" t="s">
        <v>38</v>
      </c>
      <c r="F4" s="17"/>
      <c r="G4" s="17"/>
      <c r="H4" s="17"/>
    </row>
    <row r="5" spans="1:8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>
      <c r="A6" s="5" t="s">
        <v>39</v>
      </c>
      <c r="B6" s="10"/>
      <c r="C6" s="10">
        <f>'Cuentas y Costos'!D6</f>
        <v>1098</v>
      </c>
      <c r="D6" s="10">
        <f t="shared" ref="D6:D14" si="0">IF(B6&gt;0,B6,C6)</f>
        <v>1098</v>
      </c>
      <c r="E6" s="5" t="s">
        <v>39</v>
      </c>
      <c r="F6" s="10"/>
      <c r="G6" s="10">
        <f>'Cuentas y Costos'!D6</f>
        <v>1098</v>
      </c>
      <c r="H6" s="10">
        <f t="shared" ref="H6:H14" si="1">IF(F6&gt;0,F6,G6)</f>
        <v>1098</v>
      </c>
    </row>
    <row r="7" spans="1:8">
      <c r="A7" s="5" t="s">
        <v>36</v>
      </c>
      <c r="B7" s="10"/>
      <c r="C7" s="10">
        <f>'Cuentas y Costos'!J18</f>
        <v>576</v>
      </c>
      <c r="D7" s="10">
        <f t="shared" si="0"/>
        <v>576</v>
      </c>
      <c r="E7" s="5" t="s">
        <v>19</v>
      </c>
      <c r="F7" s="10"/>
      <c r="G7" s="10">
        <f>'Cuentas y Costos'!J6</f>
        <v>106</v>
      </c>
      <c r="H7" s="10">
        <f t="shared" si="1"/>
        <v>106</v>
      </c>
    </row>
    <row r="8" spans="1:8">
      <c r="A8" s="5" t="s">
        <v>40</v>
      </c>
      <c r="B8" s="10"/>
      <c r="C8" s="10">
        <f>'Cuentas y Costos'!J3</f>
        <v>43</v>
      </c>
      <c r="D8" s="10">
        <f t="shared" si="0"/>
        <v>43</v>
      </c>
      <c r="E8" s="5" t="s">
        <v>36</v>
      </c>
      <c r="F8" s="10"/>
      <c r="G8" s="10">
        <f>'Cuentas y Costos'!J18+H7</f>
        <v>682</v>
      </c>
      <c r="H8" s="10">
        <f t="shared" si="1"/>
        <v>682</v>
      </c>
    </row>
    <row r="9" spans="1:8">
      <c r="A9" s="33" t="s">
        <v>41</v>
      </c>
      <c r="B9" s="34"/>
      <c r="C9" s="34">
        <f>D6-D7-D8</f>
        <v>479</v>
      </c>
      <c r="D9" s="35">
        <f t="shared" si="0"/>
        <v>479</v>
      </c>
      <c r="E9" s="14" t="s">
        <v>62</v>
      </c>
      <c r="F9" s="10"/>
      <c r="G9" s="10">
        <f>H6-H8</f>
        <v>416</v>
      </c>
      <c r="H9" s="10">
        <f t="shared" si="1"/>
        <v>416</v>
      </c>
    </row>
    <row r="10" spans="1:8">
      <c r="A10" s="5" t="s">
        <v>42</v>
      </c>
      <c r="B10" s="10"/>
      <c r="C10" s="10">
        <f>'Cuentas y Costos'!J10</f>
        <v>238.8</v>
      </c>
      <c r="D10" s="10">
        <f t="shared" si="0"/>
        <v>238.8</v>
      </c>
      <c r="E10" s="14" t="s">
        <v>42</v>
      </c>
      <c r="F10" s="10"/>
      <c r="G10" s="10">
        <f>'Cuentas y Costos'!J10-H7</f>
        <v>132.80000000000001</v>
      </c>
      <c r="H10" s="10">
        <f t="shared" si="1"/>
        <v>132.80000000000001</v>
      </c>
    </row>
    <row r="11" spans="1:8">
      <c r="A11" s="5" t="s">
        <v>43</v>
      </c>
      <c r="B11" s="10"/>
      <c r="C11" s="10">
        <f>'Cuentas y Costos'!J9-D8</f>
        <v>0</v>
      </c>
      <c r="D11" s="10">
        <f t="shared" si="0"/>
        <v>0</v>
      </c>
      <c r="E11" s="14" t="s">
        <v>43</v>
      </c>
      <c r="F11" s="10"/>
      <c r="G11" s="10">
        <f>'Cuentas y Costos'!J9</f>
        <v>43</v>
      </c>
      <c r="H11" s="10">
        <f t="shared" si="1"/>
        <v>43</v>
      </c>
    </row>
    <row r="12" spans="1:8">
      <c r="A12" s="33" t="s">
        <v>44</v>
      </c>
      <c r="B12" s="34"/>
      <c r="C12" s="34">
        <f>D9-D10-D11</f>
        <v>240.2</v>
      </c>
      <c r="D12" s="35">
        <f t="shared" si="0"/>
        <v>240.2</v>
      </c>
      <c r="E12" s="14" t="s">
        <v>44</v>
      </c>
      <c r="F12" s="10"/>
      <c r="G12" s="10">
        <f>H9-H10-H11</f>
        <v>240.2</v>
      </c>
      <c r="H12" s="10">
        <f t="shared" si="1"/>
        <v>240.2</v>
      </c>
    </row>
    <row r="13" spans="1:8">
      <c r="A13" s="5" t="s">
        <v>47</v>
      </c>
      <c r="B13" s="10"/>
      <c r="C13" s="10">
        <f>'Cuentas y Costos'!D7</f>
        <v>0</v>
      </c>
      <c r="D13" s="9">
        <f t="shared" si="0"/>
        <v>0</v>
      </c>
      <c r="E13" s="5" t="s">
        <v>47</v>
      </c>
      <c r="F13" s="10"/>
      <c r="G13" s="10">
        <f>'Cuentas y Costos'!D7</f>
        <v>0</v>
      </c>
      <c r="H13" s="9">
        <f t="shared" si="1"/>
        <v>0</v>
      </c>
    </row>
    <row r="14" spans="1:8">
      <c r="A14" s="33" t="s">
        <v>49</v>
      </c>
      <c r="B14" s="34"/>
      <c r="C14" s="34">
        <f>D12-D13</f>
        <v>240.2</v>
      </c>
      <c r="D14" s="35">
        <f t="shared" si="0"/>
        <v>240.2</v>
      </c>
      <c r="E14" s="5" t="s">
        <v>49</v>
      </c>
      <c r="F14" s="10"/>
      <c r="G14" s="10">
        <f>H12-H13</f>
        <v>240.2</v>
      </c>
      <c r="H14" s="9">
        <f t="shared" si="1"/>
        <v>240.2</v>
      </c>
    </row>
    <row r="15" spans="1:8">
      <c r="A15" s="5" t="s">
        <v>50</v>
      </c>
      <c r="B15" s="12">
        <f>'Cuentas y Costos'!B13</f>
        <v>0.2</v>
      </c>
      <c r="C15" s="13" t="s">
        <v>46</v>
      </c>
      <c r="D15" s="13" t="s">
        <v>46</v>
      </c>
      <c r="E15" s="5" t="s">
        <v>50</v>
      </c>
      <c r="F15" s="12">
        <f>'Cuentas y Costos'!B13</f>
        <v>0.2</v>
      </c>
      <c r="G15" s="13" t="s">
        <v>46</v>
      </c>
      <c r="H15" s="13" t="s">
        <v>46</v>
      </c>
    </row>
    <row r="16" spans="1:8">
      <c r="A16" s="30" t="s">
        <v>61</v>
      </c>
      <c r="B16" s="31">
        <v>0</v>
      </c>
      <c r="C16" s="31">
        <f>D14-(D14*B15)</f>
        <v>192.16</v>
      </c>
      <c r="D16" s="32">
        <f>IF(B16&gt;0,B16,C16)</f>
        <v>192.16</v>
      </c>
      <c r="E16" s="5" t="s">
        <v>61</v>
      </c>
      <c r="F16" s="10"/>
      <c r="G16" s="10">
        <f>H14-(H14*F15)</f>
        <v>192.16</v>
      </c>
      <c r="H16" s="9">
        <f>IF(F16&gt;0,F16,G16)</f>
        <v>192.16</v>
      </c>
    </row>
    <row r="17" spans="1:8">
      <c r="A17" s="30" t="s">
        <v>56</v>
      </c>
      <c r="B17" s="31"/>
      <c r="C17" s="31">
        <f>IF('Cuentas y Costos'!B19="FIFO",IF('Cuentas y Costos'!B23&gt;'Cuentas y Costos'!B24,('Cuentas y Costos'!B23-'Cuentas y Costos'!B24)*'Cuentas y Costos'!J13,('Cuentas y Costos'!B22-('Cuentas y Costos'!B24-'Cuentas y Costos'!B23))*'Cuentas y Costos'!J15))</f>
        <v>115.2</v>
      </c>
      <c r="D17" s="31">
        <f>IF(B17&gt;0,B17,C17)</f>
        <v>115.2</v>
      </c>
      <c r="E17" s="5" t="s">
        <v>56</v>
      </c>
      <c r="F17" s="10"/>
      <c r="G17" s="10">
        <f>('Cuentas y Costos'!J15+(H7/'Cuentas y Costos'!B22))*('Cuentas y Costos'!B23+'Cuentas y Costos'!B22-'Cuentas y Costos'!B24)</f>
        <v>132.86666666666667</v>
      </c>
      <c r="H17" s="10">
        <f>IF(F17&gt;0,F17,G17)</f>
        <v>132.86666666666667</v>
      </c>
    </row>
  </sheetData>
  <mergeCells count="2">
    <mergeCell ref="A4:D4"/>
    <mergeCell ref="E4:H4"/>
  </mergeCells>
  <dataValidations count="1">
    <dataValidation type="list" allowBlank="1" showInputMessage="1" showErrorMessage="1" sqref="B2">
      <formula1>"DIRECTO,ABSORCIÓN"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B4" sqref="B4"/>
    </sheetView>
  </sheetViews>
  <sheetFormatPr baseColWidth="10" defaultRowHeight="1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>
      <c r="G1" s="2"/>
      <c r="H1" s="2"/>
      <c r="I1" s="2"/>
      <c r="J1" s="2"/>
    </row>
    <row r="2" spans="1:13">
      <c r="A2" s="6" t="s">
        <v>32</v>
      </c>
      <c r="B2" s="6" t="s">
        <v>12</v>
      </c>
      <c r="C2" s="6" t="s">
        <v>11</v>
      </c>
      <c r="D2" s="6" t="s">
        <v>45</v>
      </c>
    </row>
    <row r="3" spans="1:13">
      <c r="A3" s="4" t="s">
        <v>34</v>
      </c>
      <c r="B3" s="10"/>
      <c r="C3" s="10">
        <f>'Cuentas y Costos'!D3+'Cuentas y Costos'!D4</f>
        <v>170</v>
      </c>
      <c r="D3" s="10">
        <f>IF(B3&gt;0,B3,C3)</f>
        <v>170</v>
      </c>
    </row>
    <row r="4" spans="1:13">
      <c r="A4" s="37" t="s">
        <v>6</v>
      </c>
      <c r="B4" s="38"/>
      <c r="C4" s="38">
        <f>IFERROR(D3/'Cuentas y Costos'!J22, 0)</f>
        <v>0.65384615384615385</v>
      </c>
      <c r="D4" s="38">
        <f t="shared" ref="D4:D10" si="0">IF(B4&gt;0,B4,C4)</f>
        <v>0.65384615384615385</v>
      </c>
      <c r="E4" s="40" t="s">
        <v>133</v>
      </c>
      <c r="F4" s="40"/>
      <c r="G4" s="40"/>
      <c r="H4" s="40"/>
      <c r="I4" s="40"/>
      <c r="J4" s="40"/>
      <c r="K4" s="40"/>
      <c r="L4" s="40"/>
    </row>
    <row r="5" spans="1:13">
      <c r="A5" s="37" t="s">
        <v>8</v>
      </c>
      <c r="B5" s="38"/>
      <c r="C5" s="38">
        <f>IFERROR(('Cuentas y Costos'!D5+D3)/'Cuentas y Costos'!J22,0)</f>
        <v>1.0384615384615385</v>
      </c>
      <c r="D5" s="38">
        <f t="shared" si="0"/>
        <v>1.0384615384615385</v>
      </c>
      <c r="E5" s="40" t="s">
        <v>134</v>
      </c>
      <c r="F5" s="40"/>
      <c r="G5" s="40"/>
      <c r="H5" s="40"/>
      <c r="I5" s="40"/>
      <c r="J5" s="40"/>
      <c r="K5" s="40"/>
      <c r="L5" s="40"/>
      <c r="M5" s="40"/>
    </row>
    <row r="6" spans="1:13">
      <c r="A6" s="4" t="s">
        <v>35</v>
      </c>
      <c r="B6" s="15"/>
      <c r="C6" s="15">
        <f>IFERROR('Cuentas y Costos'!J22/'Cuentas y Costos'!J25,0)</f>
        <v>0.96296296296296291</v>
      </c>
      <c r="D6" s="15">
        <f t="shared" si="0"/>
        <v>0.96296296296296291</v>
      </c>
    </row>
    <row r="7" spans="1:13">
      <c r="A7" s="37" t="s">
        <v>5</v>
      </c>
      <c r="B7" s="39"/>
      <c r="C7" s="39">
        <f>IFERROR(IF('Sistemas de costeo'!B2="DIRECTO",'Sistemas de costeo'!D16,'Sistemas de costeo'!H16)/'Cuentas y Costos'!D6,0)</f>
        <v>0.17500910746812387</v>
      </c>
      <c r="D7" s="39">
        <f t="shared" si="0"/>
        <v>0.17500910746812387</v>
      </c>
    </row>
    <row r="8" spans="1:13">
      <c r="A8" s="37" t="s">
        <v>4</v>
      </c>
      <c r="B8" s="38"/>
      <c r="C8" s="38">
        <f>IFERROR('Cuentas y Costos'!D6/'Cuentas y Costos'!H28,0)</f>
        <v>0.54900000000000004</v>
      </c>
      <c r="D8" s="38">
        <f t="shared" si="0"/>
        <v>0.54900000000000004</v>
      </c>
    </row>
    <row r="9" spans="1:13">
      <c r="A9" s="37" t="s">
        <v>51</v>
      </c>
      <c r="B9" s="39"/>
      <c r="C9" s="39">
        <f>D7*D8</f>
        <v>9.6080000000000013E-2</v>
      </c>
      <c r="D9" s="39">
        <f t="shared" si="0"/>
        <v>9.6080000000000013E-2</v>
      </c>
      <c r="E9" s="40" t="s">
        <v>136</v>
      </c>
    </row>
    <row r="10" spans="1:13">
      <c r="A10" s="37" t="s">
        <v>7</v>
      </c>
      <c r="B10" s="38"/>
      <c r="C10" s="41">
        <f>'Cuentas y Costos'!D6/'Cuentas y Costos'!J25</f>
        <v>4.0666666666666664</v>
      </c>
      <c r="D10" s="38">
        <f t="shared" si="0"/>
        <v>4.0666666666666664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5"/>
  <sheetViews>
    <sheetView workbookViewId="0">
      <selection activeCell="A8" sqref="A8"/>
    </sheetView>
  </sheetViews>
  <sheetFormatPr baseColWidth="10" defaultRowHeight="15"/>
  <cols>
    <col min="1" max="1" width="44.85546875" customWidth="1"/>
    <col min="3" max="3" width="14.140625" customWidth="1"/>
    <col min="5" max="5" width="11.42578125" customWidth="1"/>
    <col min="6" max="6" width="49.5703125" customWidth="1"/>
    <col min="7" max="8" width="14.140625" customWidth="1"/>
  </cols>
  <sheetData>
    <row r="2" spans="1:8">
      <c r="A2" s="6" t="s">
        <v>65</v>
      </c>
      <c r="B2" s="12"/>
      <c r="F2" s="6" t="s">
        <v>78</v>
      </c>
      <c r="G2" s="5"/>
      <c r="H2" s="5"/>
    </row>
    <row r="3" spans="1:8">
      <c r="F3" s="6" t="s">
        <v>79</v>
      </c>
      <c r="G3" s="5"/>
      <c r="H3" s="5"/>
    </row>
    <row r="4" spans="1:8">
      <c r="A4" s="6" t="s">
        <v>76</v>
      </c>
      <c r="B4" s="6" t="s">
        <v>66</v>
      </c>
      <c r="C4" s="6" t="s">
        <v>31</v>
      </c>
      <c r="D4" s="6" t="s">
        <v>79</v>
      </c>
      <c r="F4" s="6" t="s">
        <v>80</v>
      </c>
      <c r="G4" s="10">
        <f>SUMIF(D5:D14,G3,C5:C14)</f>
        <v>0</v>
      </c>
      <c r="H4" s="10">
        <f>SUMIF(D5:D14,H3,C5:C14)</f>
        <v>0</v>
      </c>
    </row>
    <row r="5" spans="1:8">
      <c r="A5" s="5" t="s">
        <v>67</v>
      </c>
      <c r="B5" s="3" t="s">
        <v>77</v>
      </c>
      <c r="C5" s="10"/>
      <c r="D5" s="5"/>
      <c r="F5" s="6" t="s">
        <v>81</v>
      </c>
      <c r="G5" s="10">
        <f>G4</f>
        <v>0</v>
      </c>
      <c r="H5" s="10">
        <f>G5+H4</f>
        <v>0</v>
      </c>
    </row>
    <row r="6" spans="1:8">
      <c r="A6" s="5" t="s">
        <v>68</v>
      </c>
      <c r="B6" s="3" t="s">
        <v>46</v>
      </c>
      <c r="C6" s="10"/>
      <c r="D6" s="5"/>
      <c r="F6" s="6" t="s">
        <v>82</v>
      </c>
      <c r="G6" s="18">
        <f>ABS(C6+C7+C10)</f>
        <v>0</v>
      </c>
      <c r="H6" s="19"/>
    </row>
    <row r="7" spans="1:8">
      <c r="A7" s="5" t="s">
        <v>69</v>
      </c>
      <c r="B7" s="3" t="s">
        <v>46</v>
      </c>
      <c r="C7" s="10"/>
      <c r="D7" s="5"/>
      <c r="F7" s="6" t="s">
        <v>89</v>
      </c>
      <c r="G7" s="18">
        <f>G14</f>
        <v>0</v>
      </c>
      <c r="H7" s="20"/>
    </row>
    <row r="8" spans="1:8">
      <c r="A8" s="5" t="s">
        <v>70</v>
      </c>
      <c r="B8" s="3" t="s">
        <v>77</v>
      </c>
      <c r="C8" s="10"/>
      <c r="D8" s="5"/>
      <c r="F8" s="6" t="s">
        <v>83</v>
      </c>
      <c r="G8" s="21">
        <f>IFERROR(IRR(G4:H4),0)</f>
        <v>0</v>
      </c>
      <c r="H8" s="20"/>
    </row>
    <row r="9" spans="1:8">
      <c r="A9" s="5" t="s">
        <v>71</v>
      </c>
      <c r="B9" s="3" t="s">
        <v>46</v>
      </c>
      <c r="C9" s="10"/>
      <c r="D9" s="5"/>
      <c r="F9" s="6" t="s">
        <v>90</v>
      </c>
      <c r="G9" s="18">
        <f>G14-G15</f>
        <v>0</v>
      </c>
      <c r="H9" s="20"/>
    </row>
    <row r="10" spans="1:8">
      <c r="A10" s="5" t="s">
        <v>72</v>
      </c>
      <c r="B10" s="3" t="s">
        <v>46</v>
      </c>
      <c r="C10" s="10"/>
      <c r="D10" s="5"/>
      <c r="F10" s="6" t="s">
        <v>84</v>
      </c>
      <c r="G10" s="22">
        <f>IFERROR(H5/G6,0)</f>
        <v>0</v>
      </c>
      <c r="H10" s="20"/>
    </row>
    <row r="11" spans="1:8">
      <c r="A11" s="5" t="s">
        <v>73</v>
      </c>
      <c r="B11" s="3" t="s">
        <v>77</v>
      </c>
      <c r="C11" s="10"/>
      <c r="D11" s="5"/>
      <c r="F11" s="6" t="s">
        <v>85</v>
      </c>
      <c r="G11" s="23">
        <f>IFERROR(G6/G7,0)</f>
        <v>0</v>
      </c>
      <c r="H11" s="24"/>
    </row>
    <row r="12" spans="1:8">
      <c r="A12" s="5" t="s">
        <v>74</v>
      </c>
      <c r="B12" s="3" t="s">
        <v>77</v>
      </c>
      <c r="C12" s="10"/>
      <c r="D12" s="5"/>
    </row>
    <row r="13" spans="1:8">
      <c r="A13" s="5" t="s">
        <v>75</v>
      </c>
      <c r="B13" s="3" t="s">
        <v>77</v>
      </c>
      <c r="C13" s="10"/>
      <c r="D13" s="5"/>
      <c r="F13" s="6" t="s">
        <v>86</v>
      </c>
      <c r="G13" s="6" t="s">
        <v>87</v>
      </c>
    </row>
    <row r="14" spans="1:8">
      <c r="A14" s="5" t="s">
        <v>50</v>
      </c>
      <c r="B14" s="3" t="s">
        <v>46</v>
      </c>
      <c r="C14" s="10"/>
      <c r="D14" s="5"/>
      <c r="F14" s="16">
        <v>0</v>
      </c>
      <c r="G14" s="10">
        <f>(G4/((1+(1*F14))^G3)+(H4/((1+(1*F14))^H3)))</f>
        <v>0</v>
      </c>
    </row>
    <row r="15" spans="1:8">
      <c r="A15" s="14" t="s">
        <v>88</v>
      </c>
      <c r="B15" s="8" t="s">
        <v>77</v>
      </c>
      <c r="C15" s="5"/>
      <c r="D15" s="5"/>
      <c r="F15" s="16">
        <f>B2</f>
        <v>0</v>
      </c>
      <c r="G15" s="10">
        <f>(G4/((1+(1*F15))^G3)+(H4/((1+(1*F15))^H3)))</f>
        <v>0</v>
      </c>
    </row>
  </sheetData>
  <mergeCells count="6">
    <mergeCell ref="G11:H11"/>
    <mergeCell ref="G6:H6"/>
    <mergeCell ref="G7:H7"/>
    <mergeCell ref="G8:H8"/>
    <mergeCell ref="G9:H9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I10"/>
  <sheetViews>
    <sheetView workbookViewId="0">
      <selection activeCell="E6" sqref="E6"/>
    </sheetView>
  </sheetViews>
  <sheetFormatPr baseColWidth="10" defaultRowHeight="1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>
      <c r="A2" s="6" t="s">
        <v>91</v>
      </c>
      <c r="B2" s="3" t="s">
        <v>92</v>
      </c>
      <c r="G2" s="6" t="s">
        <v>99</v>
      </c>
      <c r="H2" s="6" t="s">
        <v>100</v>
      </c>
      <c r="I2" s="6" t="s">
        <v>101</v>
      </c>
    </row>
    <row r="3" spans="1:9">
      <c r="G3" s="3">
        <v>1</v>
      </c>
      <c r="H3" s="10">
        <f ca="1">IF(B2="LINEAL",D7/A10,IF(B2="CRECIENTE",D7*(G3/B10),D7*(G5/B10)))</f>
        <v>0</v>
      </c>
      <c r="I3" s="10">
        <f ca="1">D5-H3</f>
        <v>0</v>
      </c>
    </row>
    <row r="4" spans="1:9">
      <c r="A4" s="6" t="s">
        <v>93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10">
        <f ca="1">I3-H4</f>
        <v>0</v>
      </c>
    </row>
    <row r="5" spans="1:9">
      <c r="A5" s="5" t="s">
        <v>94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10">
        <f ca="1">I4-H5</f>
        <v>0</v>
      </c>
    </row>
    <row r="6" spans="1:9">
      <c r="A6" s="5" t="s">
        <v>95</v>
      </c>
      <c r="B6" s="10"/>
      <c r="C6" s="10">
        <f ca="1">D5-D7</f>
        <v>0</v>
      </c>
      <c r="D6" s="10">
        <f t="shared" ref="D6:D7" ca="1" si="0">IF(B6&gt;0,B6,C6)</f>
        <v>0</v>
      </c>
    </row>
    <row r="7" spans="1:9">
      <c r="A7" s="5" t="s">
        <v>96</v>
      </c>
      <c r="B7" s="10"/>
      <c r="C7" s="10">
        <f ca="1">D5-D6</f>
        <v>0</v>
      </c>
      <c r="D7" s="10">
        <f t="shared" ca="1" si="0"/>
        <v>0</v>
      </c>
    </row>
    <row r="9" spans="1:9">
      <c r="A9" s="6" t="s">
        <v>97</v>
      </c>
      <c r="B9" s="6" t="s">
        <v>98</v>
      </c>
    </row>
    <row r="10" spans="1:9">
      <c r="A10" s="3"/>
      <c r="B10" s="3"/>
    </row>
  </sheetData>
  <dataValidations disablePrompts="1" count="1">
    <dataValidation type="list" allowBlank="1" showInputMessage="1" showErrorMessage="1" sqref="B2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PC</cp:lastModifiedBy>
  <dcterms:created xsi:type="dcterms:W3CDTF">2015-06-05T18:19:34Z</dcterms:created>
  <dcterms:modified xsi:type="dcterms:W3CDTF">2021-07-18T21:36:22Z</dcterms:modified>
</cp:coreProperties>
</file>