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tambo\OneDrive\Documentos\UTN\3er Año\Economía\Práctica de Parcial\1er Parcial Garay\1er Recuperatorio\"/>
    </mc:Choice>
  </mc:AlternateContent>
  <xr:revisionPtr revIDLastSave="0" documentId="13_ncr:1_{EC5CF72C-D7E3-446C-BF70-79034BAE9A8A}" xr6:coauthVersionLast="47" xr6:coauthVersionMax="47" xr10:uidLastSave="{00000000-0000-0000-0000-000000000000}"/>
  <bookViews>
    <workbookView xWindow="-120" yWindow="-120" windowWidth="20730" windowHeight="11160" activeTab="3" xr2:uid="{00000000-000D-0000-FFFF-FFFF00000000}"/>
  </bookViews>
  <sheets>
    <sheet name="Consigna" sheetId="3" r:id="rId1"/>
    <sheet name="2019" sheetId="2" r:id="rId2"/>
    <sheet name="2020" sheetId="4" r:id="rId3"/>
    <sheet name="Justificación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3" i="4" l="1"/>
  <c r="D63" i="4"/>
  <c r="J62" i="4"/>
  <c r="J61" i="4"/>
  <c r="C61" i="4"/>
  <c r="D61" i="4" s="1"/>
  <c r="J60" i="4"/>
  <c r="I59" i="4" s="1"/>
  <c r="J59" i="4" s="1"/>
  <c r="I64" i="4" s="1"/>
  <c r="J64" i="4" s="1"/>
  <c r="D60" i="4"/>
  <c r="D59" i="4"/>
  <c r="J58" i="4"/>
  <c r="I65" i="4" s="1"/>
  <c r="J65" i="4" s="1"/>
  <c r="D57" i="4"/>
  <c r="J56" i="4"/>
  <c r="D56" i="4"/>
  <c r="D52" i="4"/>
  <c r="D51" i="4"/>
  <c r="B50" i="4"/>
  <c r="D50" i="4" s="1"/>
  <c r="C52" i="4" s="1"/>
  <c r="J49" i="4"/>
  <c r="D43" i="4"/>
  <c r="C43" i="4"/>
  <c r="C37" i="4"/>
  <c r="D37" i="4" s="1"/>
  <c r="D36" i="4"/>
  <c r="D35" i="4"/>
  <c r="D34" i="4"/>
  <c r="C58" i="4" s="1"/>
  <c r="D58" i="4" s="1"/>
  <c r="C62" i="4" s="1"/>
  <c r="D62" i="4" s="1"/>
  <c r="J33" i="4"/>
  <c r="I35" i="4" s="1"/>
  <c r="J35" i="4" s="1"/>
  <c r="D31" i="4"/>
  <c r="D30" i="4"/>
  <c r="C25" i="4" s="1"/>
  <c r="D25" i="4" s="1"/>
  <c r="D29" i="4"/>
  <c r="D26" i="4"/>
  <c r="I41" i="4" s="1"/>
  <c r="J41" i="4" s="1"/>
  <c r="J24" i="4"/>
  <c r="I33" i="4" s="1"/>
  <c r="D24" i="4"/>
  <c r="J23" i="4"/>
  <c r="J22" i="4"/>
  <c r="I47" i="4" s="1"/>
  <c r="J47" i="4" s="1"/>
  <c r="J18" i="4"/>
  <c r="J17" i="4"/>
  <c r="J16" i="4"/>
  <c r="J15" i="4"/>
  <c r="J14" i="4"/>
  <c r="I20" i="4" s="1"/>
  <c r="J20" i="4" s="1"/>
  <c r="I27" i="4" s="1"/>
  <c r="J27" i="4" s="1"/>
  <c r="J13" i="4"/>
  <c r="J12" i="4"/>
  <c r="C12" i="4"/>
  <c r="D12" i="4" s="1"/>
  <c r="J11" i="4"/>
  <c r="J10" i="4"/>
  <c r="J9" i="4"/>
  <c r="J8" i="4"/>
  <c r="J7" i="4"/>
  <c r="J6" i="4"/>
  <c r="C14" i="2"/>
  <c r="C9" i="2"/>
  <c r="B50" i="2"/>
  <c r="J49" i="2"/>
  <c r="D51" i="2"/>
  <c r="J56" i="2"/>
  <c r="C43" i="2" s="1"/>
  <c r="J58" i="2"/>
  <c r="J61" i="2"/>
  <c r="J62" i="2"/>
  <c r="J63" i="2"/>
  <c r="D56" i="2"/>
  <c r="D57" i="2"/>
  <c r="C11" i="4" l="1"/>
  <c r="D11" i="4" s="1"/>
  <c r="C10" i="4"/>
  <c r="D10" i="4" s="1"/>
  <c r="I19" i="4"/>
  <c r="J19" i="4" s="1"/>
  <c r="I21" i="4" s="1"/>
  <c r="J21" i="4" s="1"/>
  <c r="I30" i="4"/>
  <c r="J30" i="4" s="1"/>
  <c r="C6" i="4"/>
  <c r="D6" i="4" s="1"/>
  <c r="I45" i="4"/>
  <c r="J45" i="4" s="1"/>
  <c r="C47" i="4"/>
  <c r="D47" i="4" s="1"/>
  <c r="I57" i="4"/>
  <c r="J57" i="4" s="1"/>
  <c r="C45" i="4" s="1"/>
  <c r="D45" i="4" s="1"/>
  <c r="C64" i="4"/>
  <c r="D64" i="4" s="1"/>
  <c r="C26" i="4"/>
  <c r="I44" i="4"/>
  <c r="J44" i="4" s="1"/>
  <c r="C46" i="4"/>
  <c r="D46" i="4" s="1"/>
  <c r="C53" i="4"/>
  <c r="D53" i="4" s="1"/>
  <c r="I34" i="4"/>
  <c r="J34" i="4" s="1"/>
  <c r="C8" i="4" s="1"/>
  <c r="D8" i="4" s="1"/>
  <c r="C13" i="4" s="1"/>
  <c r="D13" i="4" s="1"/>
  <c r="C41" i="4"/>
  <c r="D41" i="4" s="1"/>
  <c r="C49" i="4"/>
  <c r="D49" i="4" s="1"/>
  <c r="I31" i="4"/>
  <c r="J31" i="4" s="1"/>
  <c r="C9" i="4" s="1"/>
  <c r="D9" i="4" s="1"/>
  <c r="I51" i="4"/>
  <c r="J51" i="4" s="1"/>
  <c r="I65" i="2"/>
  <c r="J65" i="2" s="1"/>
  <c r="I44" i="2" s="1"/>
  <c r="D34" i="2"/>
  <c r="D35" i="2"/>
  <c r="D36" i="2"/>
  <c r="D59" i="2"/>
  <c r="D60" i="2"/>
  <c r="D31" i="2"/>
  <c r="D30" i="2"/>
  <c r="D29" i="2"/>
  <c r="D24" i="2"/>
  <c r="J24" i="2"/>
  <c r="I33" i="2" s="1"/>
  <c r="J33" i="2" s="1"/>
  <c r="J23" i="2"/>
  <c r="J22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I28" i="4" l="1"/>
  <c r="J28" i="4" s="1"/>
  <c r="C18" i="4" s="1"/>
  <c r="D18" i="4" s="1"/>
  <c r="I32" i="4"/>
  <c r="J32" i="4" s="1"/>
  <c r="C14" i="4" s="1"/>
  <c r="D14" i="4" s="1"/>
  <c r="C15" i="4" s="1"/>
  <c r="D15" i="4" s="1"/>
  <c r="I42" i="4"/>
  <c r="J42" i="4" s="1"/>
  <c r="I43" i="4" s="1"/>
  <c r="J43" i="4" s="1"/>
  <c r="I46" i="4" s="1"/>
  <c r="J46" i="4" s="1"/>
  <c r="I48" i="4" s="1"/>
  <c r="J48" i="4" s="1"/>
  <c r="I50" i="4" s="1"/>
  <c r="J50" i="4" s="1"/>
  <c r="C42" i="4"/>
  <c r="D42" i="4" s="1"/>
  <c r="C44" i="4" s="1"/>
  <c r="D44" i="4" s="1"/>
  <c r="C48" i="4" s="1"/>
  <c r="D48" i="4" s="1"/>
  <c r="C50" i="4" s="1"/>
  <c r="I47" i="2"/>
  <c r="J47" i="2" s="1"/>
  <c r="C49" i="2"/>
  <c r="D49" i="2" s="1"/>
  <c r="C46" i="2"/>
  <c r="J44" i="2"/>
  <c r="C37" i="2"/>
  <c r="D37" i="2" s="1"/>
  <c r="C58" i="2" s="1"/>
  <c r="C61" i="2"/>
  <c r="D61" i="2" s="1"/>
  <c r="I30" i="2"/>
  <c r="J30" i="2" s="1"/>
  <c r="I20" i="2"/>
  <c r="J20" i="2" s="1"/>
  <c r="I27" i="2" s="1"/>
  <c r="J27" i="2" s="1"/>
  <c r="I19" i="2"/>
  <c r="J19" i="2" s="1"/>
  <c r="C6" i="2"/>
  <c r="I31" i="2"/>
  <c r="J31" i="2" s="1"/>
  <c r="C25" i="2"/>
  <c r="D25" i="2" s="1"/>
  <c r="I57" i="2" s="1"/>
  <c r="C17" i="4" l="1"/>
  <c r="D17" i="4" s="1"/>
  <c r="C19" i="4"/>
  <c r="D19" i="4" s="1"/>
  <c r="I29" i="4"/>
  <c r="J29" i="4" s="1"/>
  <c r="C68" i="4" s="1"/>
  <c r="D68" i="4" s="1"/>
  <c r="C69" i="4" s="1"/>
  <c r="D69" i="4" s="1"/>
  <c r="I32" i="2"/>
  <c r="J32" i="2" s="1"/>
  <c r="C26" i="2"/>
  <c r="D26" i="2" s="1"/>
  <c r="J57" i="2"/>
  <c r="D58" i="2"/>
  <c r="I28" i="2"/>
  <c r="J28" i="2" s="1"/>
  <c r="I29" i="2" s="1"/>
  <c r="J29" i="2" s="1"/>
  <c r="I21" i="2"/>
  <c r="J21" i="2" s="1"/>
  <c r="C70" i="4" l="1"/>
  <c r="D70" i="4" s="1"/>
  <c r="C71" i="4" s="1"/>
  <c r="D71" i="4" s="1"/>
  <c r="C72" i="4" s="1"/>
  <c r="D72" i="4" s="1"/>
  <c r="C21" i="4"/>
  <c r="D21" i="4" s="1"/>
  <c r="C20" i="4" s="1"/>
  <c r="D20" i="4" s="1"/>
  <c r="C21" i="2"/>
  <c r="I41" i="2"/>
  <c r="C11" i="2"/>
  <c r="C10" i="2"/>
  <c r="C41" i="2"/>
  <c r="D41" i="2" s="1"/>
  <c r="D43" i="2"/>
  <c r="D6" i="2"/>
  <c r="D46" i="2"/>
  <c r="C18" i="2" l="1"/>
  <c r="D18" i="2" s="1"/>
  <c r="C17" i="2"/>
  <c r="D17" i="2" s="1"/>
  <c r="C19" i="2"/>
  <c r="D19" i="2" s="1"/>
  <c r="D21" i="2"/>
  <c r="C20" i="2" s="1"/>
  <c r="D20" i="2" l="1"/>
  <c r="D11" i="2" l="1"/>
  <c r="D10" i="2"/>
  <c r="J60" i="2" l="1"/>
  <c r="I59" i="2" l="1"/>
  <c r="C45" i="2"/>
  <c r="D45" i="2" s="1"/>
  <c r="D63" i="2" l="1"/>
  <c r="J59" i="2"/>
  <c r="C62" i="2" s="1"/>
  <c r="I64" i="2" l="1"/>
  <c r="J64" i="2" s="1"/>
  <c r="I45" i="2" s="1"/>
  <c r="C47" i="2" l="1"/>
  <c r="D47" i="2" s="1"/>
  <c r="J45" i="2"/>
  <c r="D62" i="2"/>
  <c r="I51" i="2" l="1"/>
  <c r="J51" i="2" s="1"/>
  <c r="C53" i="2"/>
  <c r="D53" i="2" s="1"/>
  <c r="C64" i="2"/>
  <c r="D64" i="2" s="1"/>
  <c r="I42" i="2" s="1"/>
  <c r="C42" i="2" l="1"/>
  <c r="D42" i="2" s="1"/>
  <c r="C44" i="2" s="1"/>
  <c r="D44" i="2" s="1"/>
  <c r="J42" i="2"/>
  <c r="J41" i="2" s="1"/>
  <c r="I43" i="2" l="1"/>
  <c r="J43" i="2" s="1"/>
  <c r="C48" i="2"/>
  <c r="D48" i="2" s="1"/>
  <c r="I46" i="2" l="1"/>
  <c r="J46" i="2" s="1"/>
  <c r="C50" i="2"/>
  <c r="D50" i="2" s="1"/>
  <c r="I48" i="2" l="1"/>
  <c r="J48" i="2" s="1"/>
  <c r="C52" i="2"/>
  <c r="D52" i="2" s="1"/>
  <c r="D9" i="2" l="1"/>
  <c r="I50" i="2"/>
  <c r="J50" i="2" s="1"/>
  <c r="C12" i="2" s="1"/>
  <c r="D12" i="2" l="1"/>
  <c r="I35" i="2"/>
  <c r="J35" i="2" s="1"/>
  <c r="C70" i="2" s="1"/>
  <c r="D70" i="2" s="1"/>
  <c r="C71" i="2" s="1"/>
  <c r="D71" i="2" s="1"/>
  <c r="I34" i="2" l="1"/>
  <c r="J34" i="2" s="1"/>
  <c r="C8" i="2" s="1"/>
  <c r="D8" i="2" s="1"/>
  <c r="C68" i="2"/>
  <c r="D68" i="2" s="1"/>
  <c r="D14" i="2"/>
  <c r="C69" i="2" l="1"/>
  <c r="D69" i="2" s="1"/>
  <c r="C72" i="2" s="1"/>
  <c r="D72" i="2" s="1"/>
  <c r="C13" i="2"/>
  <c r="D13" i="2" s="1"/>
  <c r="C15" i="2" l="1"/>
  <c r="D15" i="2" s="1"/>
</calcChain>
</file>

<file path=xl/sharedStrings.xml><?xml version="1.0" encoding="utf-8"?>
<sst xmlns="http://schemas.openxmlformats.org/spreadsheetml/2006/main" count="367" uniqueCount="151">
  <si>
    <t>Patrimonio Neto Promedio</t>
  </si>
  <si>
    <t>Créditos</t>
  </si>
  <si>
    <t>Caja y Bancos</t>
  </si>
  <si>
    <t>Rotación del Patrimonio neto promedio</t>
  </si>
  <si>
    <t>Margen sobre ventas</t>
  </si>
  <si>
    <t>Indice de liquidez</t>
  </si>
  <si>
    <t>Rotación del activo corriente</t>
  </si>
  <si>
    <t>Tasa de impuesto a las ganancias</t>
  </si>
  <si>
    <t>Nombre de Cuenta</t>
  </si>
  <si>
    <t>Cálculo</t>
  </si>
  <si>
    <t>Valor directo</t>
  </si>
  <si>
    <t>Tipo de costo</t>
  </si>
  <si>
    <t>Tipo de gasto</t>
  </si>
  <si>
    <t>Costo total de producción</t>
  </si>
  <si>
    <t>Gastos de comercialización variables</t>
  </si>
  <si>
    <t>Gastos de comercialización fijos</t>
  </si>
  <si>
    <t>Gastos de fabricación fijos</t>
  </si>
  <si>
    <t>Gastos de fabricación variables</t>
  </si>
  <si>
    <t>Gastos administrativos y financieros variables</t>
  </si>
  <si>
    <t>Gastos administrativos y financieros fijos</t>
  </si>
  <si>
    <t>Cantidad vendida</t>
  </si>
  <si>
    <t>Tipo de cuenta</t>
  </si>
  <si>
    <t>Activo no corriente</t>
  </si>
  <si>
    <t>Activo corriente</t>
  </si>
  <si>
    <t>Pasivo corriente</t>
  </si>
  <si>
    <t>Pasivo no corriente</t>
  </si>
  <si>
    <t>Fórmula</t>
  </si>
  <si>
    <t>Tasa</t>
  </si>
  <si>
    <t>Disponibilidades</t>
  </si>
  <si>
    <t>Indice de endeudamiento</t>
  </si>
  <si>
    <t>Costo de ventas</t>
  </si>
  <si>
    <t>Sistema Directo</t>
  </si>
  <si>
    <t>Sistema por Absorción</t>
  </si>
  <si>
    <t>Ingresos por ventas</t>
  </si>
  <si>
    <t>Gasto de comercialización variables</t>
  </si>
  <si>
    <t>Contribución marginal</t>
  </si>
  <si>
    <t>Gastos fijos</t>
  </si>
  <si>
    <t>Gastos variables</t>
  </si>
  <si>
    <t>UN antes de intereses e impuestos</t>
  </si>
  <si>
    <t>Resultado</t>
  </si>
  <si>
    <t>Intereses</t>
  </si>
  <si>
    <t>Intereses a pagar</t>
  </si>
  <si>
    <t>UN antes de impuestos</t>
  </si>
  <si>
    <t>Impuesto a las ganancias</t>
  </si>
  <si>
    <t>ROE (Rentabilidad del Patrimonio Neto)</t>
  </si>
  <si>
    <t>Costo unitario de producción</t>
  </si>
  <si>
    <t>Costo unitario de producción de inventario inicial</t>
  </si>
  <si>
    <t>Costo total de producción de inventario inicial</t>
  </si>
  <si>
    <t>Valor de inventario</t>
  </si>
  <si>
    <t>Sistema de valuación de stock</t>
  </si>
  <si>
    <t>Precio unitario de venta</t>
  </si>
  <si>
    <t>Sistema de costeo</t>
  </si>
  <si>
    <t>Activo total</t>
  </si>
  <si>
    <t>Pasivo total</t>
  </si>
  <si>
    <t>Tasa de deuda (Kd)</t>
  </si>
  <si>
    <t>Tasa de costo de capital propio (Ke)</t>
  </si>
  <si>
    <t>Tasa promedio ponderada de costo de capital (WACC)</t>
  </si>
  <si>
    <t>Deuda total a pagar</t>
  </si>
  <si>
    <t>Dividendos a pagar</t>
  </si>
  <si>
    <t>Patrimonio Neto</t>
  </si>
  <si>
    <t>ROA (Rentabilidad del Activo)</t>
  </si>
  <si>
    <t>Inmuebles</t>
  </si>
  <si>
    <t>Maquinarias</t>
  </si>
  <si>
    <t>Elementos de transporte</t>
  </si>
  <si>
    <t>Deudas bancarias de corto plazo</t>
  </si>
  <si>
    <t>Deudas con proveedores de corto plazo</t>
  </si>
  <si>
    <t>Deudas bancarias de largo plazo</t>
  </si>
  <si>
    <t>Deudas con proveedores de largo plazo</t>
  </si>
  <si>
    <t>Deudas con otros acreedores de corto plazo</t>
  </si>
  <si>
    <t>Deudas con otros acreedores de largo plazo</t>
  </si>
  <si>
    <t>Patrimonio Neto Total</t>
  </si>
  <si>
    <t>UN (Utilidad Neta) o Resultado Neto</t>
  </si>
  <si>
    <t>Bienes de Uso</t>
  </si>
  <si>
    <t>Capital invertido por accionistas o Capital social</t>
  </si>
  <si>
    <t>Deudas a corto plazo totales</t>
  </si>
  <si>
    <t>Deudas a largo plazo totales</t>
  </si>
  <si>
    <t>Valor Directo</t>
  </si>
  <si>
    <t>Materia prima inicial</t>
  </si>
  <si>
    <t>Materia prima adquirida</t>
  </si>
  <si>
    <t>Materia prima final</t>
  </si>
  <si>
    <t>Materia prima consumida</t>
  </si>
  <si>
    <t>Producto inicial</t>
  </si>
  <si>
    <t>Producto adquirido</t>
  </si>
  <si>
    <t>Producto final</t>
  </si>
  <si>
    <t>Costo de Materia Prima</t>
  </si>
  <si>
    <t>Costo de Mano de Obra Directa</t>
  </si>
  <si>
    <t>Stock del inventario</t>
  </si>
  <si>
    <t>Costo prima final</t>
  </si>
  <si>
    <t>Costo prima inicial</t>
  </si>
  <si>
    <t>Contribución marginal unitaria</t>
  </si>
  <si>
    <t>Gastos de fabricación variables unitarios</t>
  </si>
  <si>
    <t>Gastos de comercialización variables unitarios</t>
  </si>
  <si>
    <t>FIFO</t>
  </si>
  <si>
    <t>Resultado o Utilidad Bruta</t>
  </si>
  <si>
    <t>Efecto Palanca</t>
  </si>
  <si>
    <t>Rotación de Créditos</t>
  </si>
  <si>
    <t>Rotación de Bienes de Cambio</t>
  </si>
  <si>
    <t>Situación financiera</t>
  </si>
  <si>
    <t>Situación económica</t>
  </si>
  <si>
    <t>Indice de liquidez absoluta</t>
  </si>
  <si>
    <t>Indice de solvencia de corto plazo</t>
  </si>
  <si>
    <t>Indice de solvencia de largo plazo</t>
  </si>
  <si>
    <t>Tasa de costo de capital propio real (KeR)</t>
  </si>
  <si>
    <t>Tasa de deuda real (KdR)</t>
  </si>
  <si>
    <t>No aplica</t>
  </si>
  <si>
    <t>Bienes de Cambio o Existencias</t>
  </si>
  <si>
    <t>Información de Ventas</t>
  </si>
  <si>
    <t>Información de Stock</t>
  </si>
  <si>
    <t>Porcentaje</t>
  </si>
  <si>
    <t>DATOS</t>
  </si>
  <si>
    <t>ACTIVO</t>
  </si>
  <si>
    <t>PASIVO</t>
  </si>
  <si>
    <t>Año</t>
  </si>
  <si>
    <t>Caja y bancos</t>
  </si>
  <si>
    <t>Existencias</t>
  </si>
  <si>
    <t>Deudas corto plazo</t>
  </si>
  <si>
    <t>Deudas corto plazo con otros proveedores</t>
  </si>
  <si>
    <t>Deudas a largo plazo con Bancos</t>
  </si>
  <si>
    <t>Deudas a largo plazo con otros acreedores</t>
  </si>
  <si>
    <t>Patrimonio Neto Inicial</t>
  </si>
  <si>
    <t>Ventas</t>
  </si>
  <si>
    <t>Resultado Neto del Ejercicio</t>
  </si>
  <si>
    <t>$30,000.00</t>
  </si>
  <si>
    <t>$65,000.00</t>
  </si>
  <si>
    <t>$128,000.00</t>
  </si>
  <si>
    <t>$ 1,165,000.00</t>
  </si>
  <si>
    <t>$940,000.00</t>
  </si>
  <si>
    <t>$162,000.00</t>
  </si>
  <si>
    <t>$145,000.00</t>
  </si>
  <si>
    <t>$130,000.00</t>
  </si>
  <si>
    <t>$25,000.00</t>
  </si>
  <si>
    <t>$ 2,000,000.00</t>
  </si>
  <si>
    <t>$ 1,200,000.00</t>
  </si>
  <si>
    <t>$160,000.00</t>
  </si>
  <si>
    <t>$50,000.00</t>
  </si>
  <si>
    <t>$100,000.00</t>
  </si>
  <si>
    <t>$904,000.00</t>
  </si>
  <si>
    <t>$ 1,283,000.00</t>
  </si>
  <si>
    <t>$148,000.00</t>
  </si>
  <si>
    <t>$200,000.00</t>
  </si>
  <si>
    <t>$150,000.00</t>
  </si>
  <si>
    <t>$35,000.00</t>
  </si>
  <si>
    <t>$ 2,160,000.00</t>
  </si>
  <si>
    <t>$ 1,100,000.00</t>
  </si>
  <si>
    <r>
      <t>Calcule la Tasa Promedio Ponderada de Costo de Capital (TPPCC) para cada año, si ke= 22% (tasa de dividendos), kd=10% (tasa de interés dirigida a la empresa) y T=35% (Impuesto a las ganancias). Explique la variación. 10</t>
    </r>
    <r>
      <rPr>
        <u/>
        <sz val="11"/>
        <color rgb="FF000000"/>
        <rFont val="Arial"/>
        <family val="2"/>
      </rPr>
      <t xml:space="preserve"> puntos</t>
    </r>
  </si>
  <si>
    <r>
      <t>Indique como evolucionó (mejoró o empeoró) entre el año 2018 y el 2019 la situación económica,utilizando al menos 6(seis) indicadores y analice la gestión que administra la empresa. 10</t>
    </r>
    <r>
      <rPr>
        <u/>
        <sz val="11"/>
        <color rgb="FF000000"/>
        <rFont val="Calibri"/>
        <family val="2"/>
        <scheme val="minor"/>
      </rPr>
      <t xml:space="preserve"> puntos</t>
    </r>
  </si>
  <si>
    <r>
      <t>Indique como evolucionó (mejoró o empeoró) entre el año 2018 y el 2019 la situación financiera, utilizando al menos 4(cuatro) indicadores. Analice lo sucedido con el riesgo de incumplir con sus obligaciones. 10</t>
    </r>
    <r>
      <rPr>
        <u/>
        <sz val="11"/>
        <color rgb="FF000000"/>
        <rFont val="Calibri"/>
        <family val="2"/>
        <scheme val="minor"/>
      </rPr>
      <t xml:space="preserve"> puntos</t>
    </r>
  </si>
  <si>
    <t>DIRECTO</t>
  </si>
  <si>
    <t>1) Disminuye debido al aumento de endeudamiento de la empresa en el año 2020</t>
  </si>
  <si>
    <t>2) El ROE, el ROA, el margen sobre ventas y todas las rotaciones disminuyeron de valor. Esto nos permite determinar la notable baja de rendimiento que enfrentó la empresa en 2020.</t>
  </si>
  <si>
    <t>3) La situación financiera de la empresa ha mejorado, a pesar de la baja económica, empeorando únicamente de forma leve en el índice de endeudamiento.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</si>
</sst>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\ #,##0.00"/>
    <numFmt numFmtId="169" formatCode="0.00;[Red]0.00"/>
    <numFmt numFmtId="170" formatCode="&quot;$&quot;\ #,##0.00;[Red]&quot;$&quot;\ #,##0.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Arial"/>
      <family val="2"/>
    </font>
    <font>
      <sz val="11"/>
      <color rgb="FF000000"/>
      <name val="Arial"/>
      <family val="2"/>
    </font>
    <font>
      <u/>
      <sz val="11"/>
      <color rgb="FF000000"/>
      <name val="Arial"/>
      <family val="2"/>
    </font>
    <font>
      <sz val="11"/>
      <color rgb="FF000000"/>
      <name val="Calibri"/>
      <family val="2"/>
      <scheme val="minor"/>
    </font>
    <font>
      <u/>
      <sz val="11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/>
    <xf numFmtId="0" fontId="0" fillId="0" borderId="1" xfId="0" applyBorder="1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Fill="1" applyBorder="1"/>
    <xf numFmtId="0" fontId="0" fillId="0" borderId="1" xfId="0" applyFill="1" applyBorder="1" applyAlignment="1"/>
    <xf numFmtId="0" fontId="0" fillId="0" borderId="0" xfId="0" applyFill="1"/>
    <xf numFmtId="164" fontId="0" fillId="0" borderId="1" xfId="0" applyNumberFormat="1" applyFill="1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0" xfId="0" applyFill="1" applyBorder="1" applyAlignment="1"/>
    <xf numFmtId="164" fontId="0" fillId="0" borderId="0" xfId="0" applyNumberFormat="1"/>
    <xf numFmtId="0" fontId="0" fillId="2" borderId="1" xfId="0" applyFill="1" applyBorder="1" applyAlignment="1">
      <alignment horizontal="center"/>
    </xf>
    <xf numFmtId="164" fontId="0" fillId="0" borderId="1" xfId="0" applyNumberFormat="1" applyBorder="1" applyAlignment="1">
      <alignment horizontal="right"/>
    </xf>
    <xf numFmtId="0" fontId="0" fillId="4" borderId="1" xfId="0" applyFill="1" applyBorder="1" applyAlignment="1"/>
    <xf numFmtId="164" fontId="0" fillId="4" borderId="1" xfId="0" applyNumberFormat="1" applyFill="1" applyBorder="1" applyAlignment="1">
      <alignment horizontal="right"/>
    </xf>
    <xf numFmtId="2" fontId="0" fillId="0" borderId="1" xfId="0" applyNumberFormat="1" applyFill="1" applyBorder="1" applyAlignment="1">
      <alignment horizontal="right"/>
    </xf>
    <xf numFmtId="2" fontId="0" fillId="0" borderId="1" xfId="0" applyNumberFormat="1" applyBorder="1" applyAlignment="1">
      <alignment horizontal="right"/>
    </xf>
    <xf numFmtId="0" fontId="0" fillId="0" borderId="1" xfId="0" applyNumberFormat="1" applyBorder="1" applyAlignment="1">
      <alignment horizontal="right"/>
    </xf>
    <xf numFmtId="10" fontId="0" fillId="0" borderId="1" xfId="0" applyNumberFormat="1" applyFill="1" applyBorder="1" applyAlignment="1">
      <alignment horizontal="right"/>
    </xf>
    <xf numFmtId="0" fontId="0" fillId="4" borderId="1" xfId="0" applyFill="1" applyBorder="1"/>
    <xf numFmtId="0" fontId="0" fillId="6" borderId="0" xfId="0" applyFill="1"/>
    <xf numFmtId="0" fontId="0" fillId="0" borderId="1" xfId="0" applyNumberFormat="1" applyFill="1" applyBorder="1" applyAlignment="1">
      <alignment horizontal="right"/>
    </xf>
    <xf numFmtId="9" fontId="0" fillId="0" borderId="1" xfId="0" applyNumberFormat="1" applyBorder="1" applyAlignment="1">
      <alignment horizontal="center"/>
    </xf>
    <xf numFmtId="10" fontId="0" fillId="0" borderId="1" xfId="0" applyNumberFormat="1" applyBorder="1" applyAlignment="1">
      <alignment horizontal="right"/>
    </xf>
    <xf numFmtId="0" fontId="0" fillId="7" borderId="1" xfId="0" applyFill="1" applyBorder="1" applyAlignment="1"/>
    <xf numFmtId="164" fontId="0" fillId="7" borderId="1" xfId="0" applyNumberFormat="1" applyFill="1" applyBorder="1" applyAlignment="1">
      <alignment horizontal="right"/>
    </xf>
    <xf numFmtId="10" fontId="1" fillId="8" borderId="1" xfId="0" applyNumberFormat="1" applyFont="1" applyFill="1" applyBorder="1" applyAlignment="1">
      <alignment horizontal="right"/>
    </xf>
    <xf numFmtId="0" fontId="1" fillId="8" borderId="1" xfId="0" applyFont="1" applyFill="1" applyBorder="1" applyAlignment="1"/>
    <xf numFmtId="0" fontId="0" fillId="3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wrapText="1"/>
    </xf>
    <xf numFmtId="0" fontId="0" fillId="0" borderId="0" xfId="0" applyBorder="1" applyAlignment="1">
      <alignment horizontal="center" vertical="center" wrapText="1"/>
    </xf>
    <xf numFmtId="0" fontId="5" fillId="0" borderId="0" xfId="0" applyFont="1" applyBorder="1" applyAlignment="1">
      <alignment wrapText="1"/>
    </xf>
    <xf numFmtId="0" fontId="7" fillId="0" borderId="0" xfId="0" applyFont="1" applyBorder="1" applyAlignment="1">
      <alignment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1" xfId="0" applyFont="1" applyFill="1" applyBorder="1"/>
    <xf numFmtId="164" fontId="0" fillId="0" borderId="1" xfId="0" applyNumberFormat="1" applyFont="1" applyFill="1" applyBorder="1" applyAlignment="1">
      <alignment horizontal="right"/>
    </xf>
    <xf numFmtId="10" fontId="0" fillId="0" borderId="1" xfId="0" applyNumberFormat="1" applyFont="1" applyFill="1" applyBorder="1" applyAlignment="1">
      <alignment horizontal="right"/>
    </xf>
    <xf numFmtId="169" fontId="0" fillId="0" borderId="1" xfId="0" applyNumberFormat="1" applyBorder="1" applyAlignment="1">
      <alignment horizontal="right"/>
    </xf>
    <xf numFmtId="169" fontId="0" fillId="0" borderId="1" xfId="0" applyNumberFormat="1" applyFill="1" applyBorder="1" applyAlignment="1">
      <alignment horizontal="right"/>
    </xf>
    <xf numFmtId="170" fontId="0" fillId="0" borderId="1" xfId="0" applyNumberForma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5D9BEF-2B99-42B7-BF67-342509421A0C}">
  <dimension ref="A1:N13"/>
  <sheetViews>
    <sheetView workbookViewId="0">
      <selection activeCell="C8" sqref="C8"/>
    </sheetView>
  </sheetViews>
  <sheetFormatPr baseColWidth="10" defaultRowHeight="15" x14ac:dyDescent="0.25"/>
  <sheetData>
    <row r="1" spans="1:14" x14ac:dyDescent="0.25">
      <c r="A1" s="38" t="s">
        <v>109</v>
      </c>
      <c r="B1" s="39" t="s">
        <v>110</v>
      </c>
      <c r="C1" s="39"/>
      <c r="D1" s="39"/>
      <c r="E1" s="39"/>
      <c r="F1" s="39"/>
      <c r="G1" s="39"/>
      <c r="H1" s="39" t="s">
        <v>111</v>
      </c>
      <c r="I1" s="39"/>
      <c r="J1" s="39"/>
      <c r="K1" s="39"/>
      <c r="L1" s="39"/>
      <c r="M1" s="39"/>
      <c r="N1" s="39"/>
    </row>
    <row r="2" spans="1:14" x14ac:dyDescent="0.25">
      <c r="A2" s="39" t="s">
        <v>112</v>
      </c>
      <c r="B2" s="39" t="s">
        <v>113</v>
      </c>
      <c r="C2" s="39" t="s">
        <v>1</v>
      </c>
      <c r="D2" s="39" t="s">
        <v>114</v>
      </c>
      <c r="E2" s="39" t="s">
        <v>61</v>
      </c>
      <c r="F2" s="39" t="s">
        <v>62</v>
      </c>
      <c r="G2" s="39" t="s">
        <v>63</v>
      </c>
      <c r="H2" s="39" t="s">
        <v>115</v>
      </c>
      <c r="I2" s="39" t="s">
        <v>116</v>
      </c>
      <c r="J2" s="39" t="s">
        <v>117</v>
      </c>
      <c r="K2" s="39" t="s">
        <v>118</v>
      </c>
      <c r="L2" s="39" t="s">
        <v>119</v>
      </c>
      <c r="M2" s="39" t="s">
        <v>120</v>
      </c>
      <c r="N2" s="39" t="s">
        <v>121</v>
      </c>
    </row>
    <row r="3" spans="1:14" x14ac:dyDescent="0.25">
      <c r="A3" s="39"/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</row>
    <row r="4" spans="1:14" x14ac:dyDescent="0.25">
      <c r="A4" s="39"/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</row>
    <row r="5" spans="1:14" x14ac:dyDescent="0.25">
      <c r="A5" s="39"/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</row>
    <row r="6" spans="1:14" x14ac:dyDescent="0.25">
      <c r="A6" s="40">
        <v>2019</v>
      </c>
      <c r="B6" s="40" t="s">
        <v>122</v>
      </c>
      <c r="C6" s="40" t="s">
        <v>123</v>
      </c>
      <c r="D6" s="40" t="s">
        <v>124</v>
      </c>
      <c r="E6" s="40" t="s">
        <v>125</v>
      </c>
      <c r="F6" s="40" t="s">
        <v>126</v>
      </c>
      <c r="G6" s="40" t="s">
        <v>127</v>
      </c>
      <c r="H6" s="40" t="s">
        <v>128</v>
      </c>
      <c r="I6" s="40" t="s">
        <v>129</v>
      </c>
      <c r="J6" s="40" t="s">
        <v>122</v>
      </c>
      <c r="K6" s="40" t="s">
        <v>130</v>
      </c>
      <c r="L6" s="40" t="s">
        <v>131</v>
      </c>
      <c r="M6" s="40" t="s">
        <v>132</v>
      </c>
      <c r="N6" s="40" t="s">
        <v>133</v>
      </c>
    </row>
    <row r="7" spans="1:14" x14ac:dyDescent="0.25">
      <c r="A7" s="40">
        <v>2020</v>
      </c>
      <c r="B7" s="40" t="s">
        <v>134</v>
      </c>
      <c r="C7" s="40" t="s">
        <v>135</v>
      </c>
      <c r="D7" s="40" t="s">
        <v>133</v>
      </c>
      <c r="E7" s="40" t="s">
        <v>136</v>
      </c>
      <c r="F7" s="40" t="s">
        <v>137</v>
      </c>
      <c r="G7" s="40" t="s">
        <v>138</v>
      </c>
      <c r="H7" s="40" t="s">
        <v>139</v>
      </c>
      <c r="I7" s="40" t="s">
        <v>140</v>
      </c>
      <c r="J7" s="40" t="s">
        <v>134</v>
      </c>
      <c r="K7" s="40" t="s">
        <v>141</v>
      </c>
      <c r="L7" s="40" t="s">
        <v>142</v>
      </c>
      <c r="M7" s="40" t="s">
        <v>143</v>
      </c>
      <c r="N7" s="40" t="s">
        <v>134</v>
      </c>
    </row>
    <row r="8" spans="1:14" x14ac:dyDescent="0.25">
      <c r="A8" s="33"/>
      <c r="B8" s="34"/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</row>
    <row r="9" spans="1:14" ht="28.5" customHeight="1" x14ac:dyDescent="0.25">
      <c r="A9" s="35">
        <v>1</v>
      </c>
      <c r="B9" s="36" t="s">
        <v>144</v>
      </c>
      <c r="C9" s="36"/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</row>
    <row r="10" spans="1:14" x14ac:dyDescent="0.25">
      <c r="A10" s="33"/>
      <c r="B10" s="34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</row>
    <row r="11" spans="1:14" ht="30" customHeight="1" x14ac:dyDescent="0.25">
      <c r="A11" s="35">
        <v>2</v>
      </c>
      <c r="B11" s="37" t="s">
        <v>145</v>
      </c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</row>
    <row r="12" spans="1:14" x14ac:dyDescent="0.25">
      <c r="A12" s="33"/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</row>
    <row r="13" spans="1:14" ht="30" customHeight="1" x14ac:dyDescent="0.25">
      <c r="A13" s="35">
        <v>3</v>
      </c>
      <c r="B13" s="37" t="s">
        <v>146</v>
      </c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</row>
  </sheetData>
  <mergeCells count="19">
    <mergeCell ref="B9:N9"/>
    <mergeCell ref="B11:N11"/>
    <mergeCell ref="B13:N13"/>
    <mergeCell ref="I2:I5"/>
    <mergeCell ref="J2:J5"/>
    <mergeCell ref="K2:K5"/>
    <mergeCell ref="L2:L5"/>
    <mergeCell ref="M2:M5"/>
    <mergeCell ref="N2:N5"/>
    <mergeCell ref="B1:G1"/>
    <mergeCell ref="H1:N1"/>
    <mergeCell ref="A2:A5"/>
    <mergeCell ref="B2:B5"/>
    <mergeCell ref="C2:C5"/>
    <mergeCell ref="D2:D5"/>
    <mergeCell ref="E2:E5"/>
    <mergeCell ref="F2:F5"/>
    <mergeCell ref="G2:G5"/>
    <mergeCell ref="H2:H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72"/>
  <sheetViews>
    <sheetView topLeftCell="A4" workbookViewId="0">
      <selection activeCell="A13" sqref="A13:D13"/>
    </sheetView>
  </sheetViews>
  <sheetFormatPr baseColWidth="10" defaultRowHeight="15" x14ac:dyDescent="0.25"/>
  <cols>
    <col min="1" max="1" width="48.42578125" customWidth="1"/>
    <col min="2" max="3" width="14.140625" customWidth="1"/>
    <col min="4" max="4" width="14" customWidth="1"/>
    <col min="7" max="7" width="43.28515625" customWidth="1"/>
    <col min="8" max="8" width="13.28515625" customWidth="1"/>
    <col min="9" max="9" width="13.85546875" customWidth="1"/>
    <col min="10" max="10" width="14" customWidth="1"/>
    <col min="11" max="11" width="11.42578125" customWidth="1"/>
  </cols>
  <sheetData>
    <row r="1" spans="1:10" x14ac:dyDescent="0.25">
      <c r="A1" s="5" t="s">
        <v>51</v>
      </c>
      <c r="B1" s="2" t="s">
        <v>147</v>
      </c>
      <c r="G1" s="1"/>
      <c r="H1" s="1"/>
      <c r="I1" s="1"/>
      <c r="J1" s="1"/>
    </row>
    <row r="2" spans="1:10" x14ac:dyDescent="0.25">
      <c r="A2" s="5" t="s">
        <v>49</v>
      </c>
      <c r="B2" s="2" t="s">
        <v>92</v>
      </c>
    </row>
    <row r="3" spans="1:10" x14ac:dyDescent="0.25">
      <c r="A3" s="14" t="s">
        <v>7</v>
      </c>
      <c r="B3" s="25">
        <v>0.35</v>
      </c>
    </row>
    <row r="5" spans="1:10" x14ac:dyDescent="0.25">
      <c r="A5" s="5" t="s">
        <v>26</v>
      </c>
      <c r="B5" s="5" t="s">
        <v>10</v>
      </c>
      <c r="C5" s="5" t="s">
        <v>9</v>
      </c>
      <c r="D5" s="5" t="s">
        <v>39</v>
      </c>
      <c r="F5" s="12"/>
      <c r="G5" s="5" t="s">
        <v>8</v>
      </c>
      <c r="H5" s="5" t="s">
        <v>10</v>
      </c>
      <c r="I5" s="5" t="s">
        <v>9</v>
      </c>
      <c r="J5" s="5" t="s">
        <v>39</v>
      </c>
    </row>
    <row r="6" spans="1:10" x14ac:dyDescent="0.25">
      <c r="A6" s="3" t="s">
        <v>28</v>
      </c>
      <c r="B6" s="15"/>
      <c r="C6" s="15">
        <f>IFERROR(J6+J7,"No aplica")</f>
        <v>95000</v>
      </c>
      <c r="D6" s="15">
        <f>IF(B6&gt;0,B6,C6)</f>
        <v>95000</v>
      </c>
      <c r="E6" s="9"/>
      <c r="F6" s="12"/>
      <c r="G6" s="3" t="s">
        <v>1</v>
      </c>
      <c r="H6" s="15">
        <v>65000</v>
      </c>
      <c r="I6" s="15">
        <v>0</v>
      </c>
      <c r="J6" s="15">
        <f t="shared" ref="J6:J24" si="0">IF(H6&gt;0,H6,I6)</f>
        <v>65000</v>
      </c>
    </row>
    <row r="7" spans="1:10" x14ac:dyDescent="0.25">
      <c r="A7" s="32" t="s">
        <v>98</v>
      </c>
      <c r="B7" s="32"/>
      <c r="C7" s="32"/>
      <c r="D7" s="32"/>
      <c r="E7" s="9"/>
      <c r="F7" s="12"/>
      <c r="G7" s="3" t="s">
        <v>2</v>
      </c>
      <c r="H7" s="15">
        <v>30000</v>
      </c>
      <c r="I7" s="15">
        <v>0</v>
      </c>
      <c r="J7" s="15">
        <f t="shared" si="0"/>
        <v>30000</v>
      </c>
    </row>
    <row r="8" spans="1:10" x14ac:dyDescent="0.25">
      <c r="A8" s="8" t="s">
        <v>3</v>
      </c>
      <c r="B8" s="18"/>
      <c r="C8" s="18">
        <f>IFERROR(D26/J34,"No aplica")</f>
        <v>0.57692307692307687</v>
      </c>
      <c r="D8" s="18">
        <f t="shared" ref="D8:D14" si="1">IF(B8&gt;0,B8,C8)</f>
        <v>0.57692307692307687</v>
      </c>
      <c r="E8" s="9"/>
      <c r="F8" s="12"/>
      <c r="G8" s="3" t="s">
        <v>105</v>
      </c>
      <c r="H8" s="15">
        <v>128000</v>
      </c>
      <c r="I8" s="15">
        <v>0</v>
      </c>
      <c r="J8" s="15">
        <f t="shared" si="0"/>
        <v>128000</v>
      </c>
    </row>
    <row r="9" spans="1:10" x14ac:dyDescent="0.25">
      <c r="A9" s="8" t="s">
        <v>6</v>
      </c>
      <c r="B9" s="18"/>
      <c r="C9" s="18">
        <f>IFERROR(IF(B1="DIRECTO",D50,J48)/J31,"No aplica")</f>
        <v>1.1038289065194895</v>
      </c>
      <c r="D9" s="18">
        <f t="shared" si="1"/>
        <v>1.1038289065194895</v>
      </c>
      <c r="E9" s="9"/>
      <c r="F9" s="12"/>
      <c r="G9" s="3" t="s">
        <v>72</v>
      </c>
      <c r="H9" s="15"/>
      <c r="I9" s="15">
        <v>0</v>
      </c>
      <c r="J9" s="15">
        <f t="shared" si="0"/>
        <v>0</v>
      </c>
    </row>
    <row r="10" spans="1:10" x14ac:dyDescent="0.25">
      <c r="A10" s="8" t="s">
        <v>95</v>
      </c>
      <c r="B10" s="44"/>
      <c r="C10" s="44">
        <f>IFERROR(D26/J6,"No aplica")</f>
        <v>18.46153846153846</v>
      </c>
      <c r="D10" s="45">
        <f t="shared" si="1"/>
        <v>18.46153846153846</v>
      </c>
      <c r="E10" s="9"/>
      <c r="F10" s="12"/>
      <c r="G10" s="3" t="s">
        <v>61</v>
      </c>
      <c r="H10" s="15">
        <v>1165000</v>
      </c>
      <c r="I10" s="15">
        <v>0</v>
      </c>
      <c r="J10" s="15">
        <f t="shared" si="0"/>
        <v>1165000</v>
      </c>
    </row>
    <row r="11" spans="1:10" x14ac:dyDescent="0.25">
      <c r="A11" s="8" t="s">
        <v>96</v>
      </c>
      <c r="B11" s="19"/>
      <c r="C11" s="19">
        <f>IFERROR(D26/J8,"No aplica")</f>
        <v>9.375</v>
      </c>
      <c r="D11" s="18">
        <f t="shared" si="1"/>
        <v>9.375</v>
      </c>
      <c r="E11" s="9"/>
      <c r="F11" s="12"/>
      <c r="G11" s="3" t="s">
        <v>62</v>
      </c>
      <c r="H11" s="15">
        <v>940000</v>
      </c>
      <c r="I11" s="15">
        <v>0</v>
      </c>
      <c r="J11" s="15">
        <f t="shared" si="0"/>
        <v>940000</v>
      </c>
    </row>
    <row r="12" spans="1:10" x14ac:dyDescent="0.25">
      <c r="A12" s="8" t="s">
        <v>4</v>
      </c>
      <c r="B12" s="21"/>
      <c r="C12" s="21">
        <f>IFERROR(IF(B1="DIRECTO",D52,J50)/D26,"No aplica")</f>
        <v>0.13333333333333333</v>
      </c>
      <c r="D12" s="21">
        <f t="shared" si="1"/>
        <v>0.13333333333333333</v>
      </c>
      <c r="E12" s="9"/>
      <c r="F12" s="12"/>
      <c r="G12" s="3" t="s">
        <v>63</v>
      </c>
      <c r="H12" s="15">
        <v>162000</v>
      </c>
      <c r="I12" s="15">
        <v>0</v>
      </c>
      <c r="J12" s="15">
        <f t="shared" si="0"/>
        <v>162000</v>
      </c>
    </row>
    <row r="13" spans="1:10" x14ac:dyDescent="0.25">
      <c r="A13" s="8" t="s">
        <v>44</v>
      </c>
      <c r="B13" s="21"/>
      <c r="C13" s="21">
        <f>IFERROR(D12*D8,"No aplica")</f>
        <v>7.6923076923076913E-2</v>
      </c>
      <c r="D13" s="21">
        <f t="shared" si="1"/>
        <v>7.6923076923076913E-2</v>
      </c>
      <c r="F13" s="12"/>
      <c r="G13" s="3" t="s">
        <v>64</v>
      </c>
      <c r="H13" s="15">
        <v>145000</v>
      </c>
      <c r="I13" s="15">
        <v>0</v>
      </c>
      <c r="J13" s="15">
        <f t="shared" si="0"/>
        <v>145000</v>
      </c>
    </row>
    <row r="14" spans="1:10" x14ac:dyDescent="0.25">
      <c r="A14" s="8" t="s">
        <v>60</v>
      </c>
      <c r="B14" s="21"/>
      <c r="C14" s="21">
        <f>IFERROR(IF(B1="DIRECTO",D50,J48)/J32,"No aplica")</f>
        <v>9.8856966326845847E-2</v>
      </c>
      <c r="D14" s="21">
        <f t="shared" si="1"/>
        <v>9.8856966326845847E-2</v>
      </c>
      <c r="F14" s="12"/>
      <c r="G14" s="3" t="s">
        <v>66</v>
      </c>
      <c r="H14" s="15">
        <v>30000</v>
      </c>
      <c r="I14" s="15">
        <v>0</v>
      </c>
      <c r="J14" s="15">
        <f t="shared" si="0"/>
        <v>30000</v>
      </c>
    </row>
    <row r="15" spans="1:10" x14ac:dyDescent="0.25">
      <c r="A15" s="8" t="s">
        <v>94</v>
      </c>
      <c r="B15" s="19"/>
      <c r="C15" s="19">
        <f>IFERROR(D13/D14,"No aplica")</f>
        <v>0.77812499999999984</v>
      </c>
      <c r="D15" s="18">
        <f>IF(B15&gt;0,B15,C15)</f>
        <v>0.77812499999999984</v>
      </c>
      <c r="G15" s="3" t="s">
        <v>65</v>
      </c>
      <c r="H15" s="15">
        <v>130000</v>
      </c>
      <c r="I15" s="15">
        <v>0</v>
      </c>
      <c r="J15" s="15">
        <f t="shared" si="0"/>
        <v>130000</v>
      </c>
    </row>
    <row r="16" spans="1:10" x14ac:dyDescent="0.25">
      <c r="A16" s="32" t="s">
        <v>97</v>
      </c>
      <c r="B16" s="32"/>
      <c r="C16" s="32"/>
      <c r="D16" s="32"/>
      <c r="G16" s="3" t="s">
        <v>67</v>
      </c>
      <c r="H16" s="15">
        <v>25000</v>
      </c>
      <c r="I16" s="15">
        <v>0</v>
      </c>
      <c r="J16" s="15">
        <f t="shared" si="0"/>
        <v>25000</v>
      </c>
    </row>
    <row r="17" spans="1:10" x14ac:dyDescent="0.25">
      <c r="A17" s="8" t="s">
        <v>5</v>
      </c>
      <c r="B17" s="18"/>
      <c r="C17" s="18">
        <f>IFERROR(D6/J28, "No aplica")</f>
        <v>0.34545454545454546</v>
      </c>
      <c r="D17" s="18">
        <f t="shared" ref="D17" si="2">IF(B17&gt;0,B17,C17)</f>
        <v>0.34545454545454546</v>
      </c>
      <c r="G17" s="3" t="s">
        <v>68</v>
      </c>
      <c r="H17" s="15"/>
      <c r="I17" s="15">
        <v>0</v>
      </c>
      <c r="J17" s="15">
        <f t="shared" si="0"/>
        <v>0</v>
      </c>
    </row>
    <row r="18" spans="1:10" x14ac:dyDescent="0.25">
      <c r="A18" s="8" t="s">
        <v>99</v>
      </c>
      <c r="B18" s="18"/>
      <c r="C18" s="18">
        <f>IFERROR((D6-J6)/J28, "No aplica")</f>
        <v>0.10909090909090909</v>
      </c>
      <c r="D18" s="18">
        <f t="shared" ref="D18" si="3">IF(B18&gt;0,B18,C18)</f>
        <v>0.10909090909090909</v>
      </c>
      <c r="G18" s="3" t="s">
        <v>69</v>
      </c>
      <c r="H18" s="15"/>
      <c r="I18" s="15">
        <v>0</v>
      </c>
      <c r="J18" s="15">
        <f t="shared" si="0"/>
        <v>0</v>
      </c>
    </row>
    <row r="19" spans="1:10" x14ac:dyDescent="0.25">
      <c r="A19" s="8" t="s">
        <v>100</v>
      </c>
      <c r="B19" s="18"/>
      <c r="C19" s="18">
        <f>IFERROR((J8+D6)/J28,"No aplica")</f>
        <v>0.81090909090909091</v>
      </c>
      <c r="D19" s="18">
        <f>IF(B19&gt;0,B19,C19)</f>
        <v>0.81090909090909091</v>
      </c>
      <c r="G19" s="16" t="s">
        <v>74</v>
      </c>
      <c r="H19" s="17"/>
      <c r="I19" s="17">
        <f>IFERROR(J13+J15+J17,"No aplica")</f>
        <v>275000</v>
      </c>
      <c r="J19" s="17">
        <f t="shared" si="0"/>
        <v>275000</v>
      </c>
    </row>
    <row r="20" spans="1:10" x14ac:dyDescent="0.25">
      <c r="A20" s="8" t="s">
        <v>101</v>
      </c>
      <c r="B20" s="18"/>
      <c r="C20" s="18">
        <f>IFERROR(1-D21,"No aplica")</f>
        <v>0.86746987951807231</v>
      </c>
      <c r="D20" s="18">
        <f t="shared" ref="D20" si="4">IF(B20&gt;0,B20,C20)</f>
        <v>0.86746987951807231</v>
      </c>
      <c r="G20" s="16" t="s">
        <v>75</v>
      </c>
      <c r="H20" s="17"/>
      <c r="I20" s="17">
        <f>IFERROR(J14+J16+J18,"No aplica")</f>
        <v>55000</v>
      </c>
      <c r="J20" s="17">
        <f t="shared" si="0"/>
        <v>55000</v>
      </c>
    </row>
    <row r="21" spans="1:10" x14ac:dyDescent="0.25">
      <c r="A21" s="8" t="s">
        <v>29</v>
      </c>
      <c r="B21" s="21"/>
      <c r="C21" s="21">
        <f>IFERROR(J29/J32,"No aplica")</f>
        <v>0.13253012048192772</v>
      </c>
      <c r="D21" s="21">
        <f>IF(B21&gt;0,B21,C21)</f>
        <v>0.13253012048192772</v>
      </c>
      <c r="G21" s="27" t="s">
        <v>57</v>
      </c>
      <c r="H21" s="28"/>
      <c r="I21" s="28">
        <f>IFERROR(J19+J20,"No aplica")</f>
        <v>330000</v>
      </c>
      <c r="J21" s="28">
        <f t="shared" si="0"/>
        <v>330000</v>
      </c>
    </row>
    <row r="22" spans="1:10" x14ac:dyDescent="0.25">
      <c r="G22" s="3" t="s">
        <v>41</v>
      </c>
      <c r="H22" s="15"/>
      <c r="I22" s="15">
        <v>0</v>
      </c>
      <c r="J22" s="15">
        <f t="shared" si="0"/>
        <v>0</v>
      </c>
    </row>
    <row r="23" spans="1:10" x14ac:dyDescent="0.25">
      <c r="A23" s="14" t="s">
        <v>106</v>
      </c>
      <c r="B23" s="14" t="s">
        <v>10</v>
      </c>
      <c r="C23" s="14" t="s">
        <v>9</v>
      </c>
      <c r="D23" s="14" t="s">
        <v>39</v>
      </c>
      <c r="G23" s="3" t="s">
        <v>58</v>
      </c>
      <c r="H23" s="15"/>
      <c r="I23" s="15">
        <v>0</v>
      </c>
      <c r="J23" s="15">
        <f t="shared" si="0"/>
        <v>0</v>
      </c>
    </row>
    <row r="24" spans="1:10" x14ac:dyDescent="0.25">
      <c r="A24" s="4" t="s">
        <v>50</v>
      </c>
      <c r="B24" s="15"/>
      <c r="C24" s="15">
        <v>0</v>
      </c>
      <c r="D24" s="15">
        <f>IF(B24&gt;0,B24,C24)</f>
        <v>0</v>
      </c>
      <c r="G24" s="3" t="s">
        <v>73</v>
      </c>
      <c r="H24" s="15"/>
      <c r="I24" s="15">
        <v>0</v>
      </c>
      <c r="J24" s="15">
        <f t="shared" si="0"/>
        <v>0</v>
      </c>
    </row>
    <row r="25" spans="1:10" x14ac:dyDescent="0.25">
      <c r="A25" s="4" t="s">
        <v>20</v>
      </c>
      <c r="B25" s="4"/>
      <c r="C25" s="11">
        <f>IFERROR(D29+D30-D31,"No aplica")</f>
        <v>0</v>
      </c>
      <c r="D25" s="11">
        <f>IF(B25&gt;0,B25,C25)</f>
        <v>0</v>
      </c>
      <c r="G25" s="13"/>
    </row>
    <row r="26" spans="1:10" x14ac:dyDescent="0.25">
      <c r="A26" s="3" t="s">
        <v>33</v>
      </c>
      <c r="B26" s="15">
        <v>1200000</v>
      </c>
      <c r="C26" s="20">
        <f>IFERROR(D24*D25,"No aplica")</f>
        <v>0</v>
      </c>
      <c r="D26" s="15">
        <f>IF(B26&gt;0,B26,C26)</f>
        <v>1200000</v>
      </c>
      <c r="G26" s="5" t="s">
        <v>21</v>
      </c>
      <c r="H26" s="5" t="s">
        <v>10</v>
      </c>
      <c r="I26" s="5" t="s">
        <v>9</v>
      </c>
      <c r="J26" s="5" t="s">
        <v>39</v>
      </c>
    </row>
    <row r="27" spans="1:10" x14ac:dyDescent="0.25">
      <c r="G27" s="7" t="s">
        <v>25</v>
      </c>
      <c r="H27" s="10"/>
      <c r="I27" s="10">
        <f>J20</f>
        <v>55000</v>
      </c>
      <c r="J27" s="10">
        <f t="shared" ref="J27:J35" si="5">IF(H27&gt;0,H27,I27)</f>
        <v>55000</v>
      </c>
    </row>
    <row r="28" spans="1:10" x14ac:dyDescent="0.25">
      <c r="A28" s="14" t="s">
        <v>107</v>
      </c>
      <c r="B28" s="14" t="s">
        <v>10</v>
      </c>
      <c r="C28" s="14" t="s">
        <v>9</v>
      </c>
      <c r="D28" s="14" t="s">
        <v>39</v>
      </c>
      <c r="G28" s="7" t="s">
        <v>24</v>
      </c>
      <c r="H28" s="10"/>
      <c r="I28" s="10">
        <f>J19</f>
        <v>275000</v>
      </c>
      <c r="J28" s="10">
        <f t="shared" si="5"/>
        <v>275000</v>
      </c>
    </row>
    <row r="29" spans="1:10" x14ac:dyDescent="0.25">
      <c r="A29" s="4" t="s">
        <v>81</v>
      </c>
      <c r="B29" s="11"/>
      <c r="C29" s="11">
        <v>0</v>
      </c>
      <c r="D29" s="11">
        <f>IF(B29&gt;0,B29,C29)</f>
        <v>0</v>
      </c>
      <c r="G29" s="22" t="s">
        <v>53</v>
      </c>
      <c r="H29" s="17"/>
      <c r="I29" s="17">
        <f>IFERROR(J27+J28,"No aplica")</f>
        <v>330000</v>
      </c>
      <c r="J29" s="17">
        <f t="shared" si="5"/>
        <v>330000</v>
      </c>
    </row>
    <row r="30" spans="1:10" x14ac:dyDescent="0.25">
      <c r="A30" s="4" t="s">
        <v>82</v>
      </c>
      <c r="B30" s="11"/>
      <c r="C30" s="11">
        <v>0</v>
      </c>
      <c r="D30" s="11">
        <f>IF(B30&gt;0,B30,C30)</f>
        <v>0</v>
      </c>
      <c r="G30" s="7" t="s">
        <v>22</v>
      </c>
      <c r="H30" s="10"/>
      <c r="I30" s="10">
        <f>IFERROR(J10+J11+J12+J9,"No aplica")</f>
        <v>2267000</v>
      </c>
      <c r="J30" s="10">
        <f t="shared" si="5"/>
        <v>2267000</v>
      </c>
    </row>
    <row r="31" spans="1:10" x14ac:dyDescent="0.25">
      <c r="A31" s="4" t="s">
        <v>83</v>
      </c>
      <c r="B31" s="11"/>
      <c r="C31" s="11">
        <v>0</v>
      </c>
      <c r="D31" s="11">
        <f>IF(B31&gt;0,B31,C31)</f>
        <v>0</v>
      </c>
      <c r="G31" s="7" t="s">
        <v>23</v>
      </c>
      <c r="H31" s="10"/>
      <c r="I31" s="10">
        <f>IFERROR(J6+J7+J8,"No aplica")</f>
        <v>223000</v>
      </c>
      <c r="J31" s="10">
        <f t="shared" si="5"/>
        <v>223000</v>
      </c>
    </row>
    <row r="32" spans="1:10" x14ac:dyDescent="0.25">
      <c r="G32" s="22" t="s">
        <v>52</v>
      </c>
      <c r="H32" s="17"/>
      <c r="I32" s="17">
        <f>IFERROR(J30+J31,"No aplica")</f>
        <v>2490000</v>
      </c>
      <c r="J32" s="17">
        <f t="shared" si="5"/>
        <v>2490000</v>
      </c>
    </row>
    <row r="33" spans="1:10" ht="15" customHeight="1" x14ac:dyDescent="0.25">
      <c r="A33" s="5" t="s">
        <v>86</v>
      </c>
      <c r="B33" s="5" t="s">
        <v>76</v>
      </c>
      <c r="C33" s="5" t="s">
        <v>9</v>
      </c>
      <c r="D33" s="5" t="s">
        <v>39</v>
      </c>
      <c r="G33" s="8" t="s">
        <v>59</v>
      </c>
      <c r="H33" s="10">
        <v>2000000</v>
      </c>
      <c r="I33" s="10">
        <f>J24</f>
        <v>0</v>
      </c>
      <c r="J33" s="10">
        <f t="shared" si="5"/>
        <v>2000000</v>
      </c>
    </row>
    <row r="34" spans="1:10" x14ac:dyDescent="0.25">
      <c r="A34" s="4" t="s">
        <v>77</v>
      </c>
      <c r="B34" s="11"/>
      <c r="C34" s="11">
        <v>0</v>
      </c>
      <c r="D34" s="11">
        <f>IF(B34&gt;0,B34,C34)</f>
        <v>0</v>
      </c>
      <c r="G34" s="8" t="s">
        <v>0</v>
      </c>
      <c r="H34" s="10"/>
      <c r="I34" s="10">
        <f>IFERROR(AVERAGE(J33,J35),"No aplica")</f>
        <v>2080000</v>
      </c>
      <c r="J34" s="10">
        <f t="shared" si="5"/>
        <v>2080000</v>
      </c>
    </row>
    <row r="35" spans="1:10" x14ac:dyDescent="0.25">
      <c r="A35" s="4" t="s">
        <v>78</v>
      </c>
      <c r="B35" s="11"/>
      <c r="C35" s="11">
        <v>0</v>
      </c>
      <c r="D35" s="11">
        <f>IF(B35&gt;0,B35,C35)</f>
        <v>0</v>
      </c>
      <c r="G35" s="16" t="s">
        <v>70</v>
      </c>
      <c r="H35" s="17"/>
      <c r="I35" s="17">
        <f>IFERROR(IF(B1="DIRECTO",J33+D52,J33+J50),"No aplica")</f>
        <v>2160000</v>
      </c>
      <c r="J35" s="17">
        <f t="shared" si="5"/>
        <v>2160000</v>
      </c>
    </row>
    <row r="36" spans="1:10" x14ac:dyDescent="0.25">
      <c r="A36" s="4" t="s">
        <v>79</v>
      </c>
      <c r="B36" s="11"/>
      <c r="C36" s="11">
        <v>0</v>
      </c>
      <c r="D36" s="11">
        <f>IF(B36&gt;0,B36,C36)</f>
        <v>0</v>
      </c>
    </row>
    <row r="37" spans="1:10" x14ac:dyDescent="0.25">
      <c r="A37" s="7" t="s">
        <v>80</v>
      </c>
      <c r="B37" s="11"/>
      <c r="C37" s="11">
        <f>IFERROR(D34+D35-D36,"No aplica")</f>
        <v>0</v>
      </c>
      <c r="D37" s="11">
        <f>IF(B37&gt;0,B37,C37)</f>
        <v>0</v>
      </c>
    </row>
    <row r="38" spans="1:10" x14ac:dyDescent="0.25">
      <c r="A38" s="23"/>
      <c r="B38" s="23"/>
      <c r="C38" s="23"/>
      <c r="D38" s="23"/>
      <c r="E38" s="23"/>
      <c r="F38" s="23"/>
      <c r="G38" s="23"/>
      <c r="H38" s="23"/>
      <c r="I38" s="23"/>
      <c r="J38" s="23"/>
    </row>
    <row r="39" spans="1:10" x14ac:dyDescent="0.25">
      <c r="A39" s="31" t="s">
        <v>31</v>
      </c>
      <c r="B39" s="31"/>
      <c r="C39" s="31"/>
      <c r="D39" s="31"/>
      <c r="G39" s="31" t="s">
        <v>32</v>
      </c>
      <c r="H39" s="31"/>
      <c r="I39" s="31"/>
      <c r="J39" s="31"/>
    </row>
    <row r="40" spans="1:10" x14ac:dyDescent="0.25">
      <c r="A40" s="5" t="s">
        <v>26</v>
      </c>
      <c r="B40" s="5" t="s">
        <v>10</v>
      </c>
      <c r="C40" s="5" t="s">
        <v>9</v>
      </c>
      <c r="D40" s="5" t="s">
        <v>39</v>
      </c>
      <c r="G40" s="5" t="s">
        <v>26</v>
      </c>
      <c r="H40" s="5" t="s">
        <v>10</v>
      </c>
      <c r="I40" s="5" t="s">
        <v>9</v>
      </c>
      <c r="J40" s="5" t="s">
        <v>39</v>
      </c>
    </row>
    <row r="41" spans="1:10" x14ac:dyDescent="0.25">
      <c r="A41" s="7" t="s">
        <v>33</v>
      </c>
      <c r="B41" s="10"/>
      <c r="C41" s="10">
        <f>D26</f>
        <v>1200000</v>
      </c>
      <c r="D41" s="10">
        <f>IF(B41&gt;0,B41,C41)</f>
        <v>1200000</v>
      </c>
      <c r="G41" s="41" t="s">
        <v>33</v>
      </c>
      <c r="H41" s="42"/>
      <c r="I41" s="42">
        <f>D26</f>
        <v>1200000</v>
      </c>
      <c r="J41" s="42">
        <f t="shared" ref="J41:J48" si="6">IF(H41&gt;0,H41,I41)</f>
        <v>1200000</v>
      </c>
    </row>
    <row r="42" spans="1:10" x14ac:dyDescent="0.25">
      <c r="A42" s="7" t="s">
        <v>30</v>
      </c>
      <c r="B42" s="10"/>
      <c r="C42" s="10" t="str">
        <f>D64</f>
        <v>No aplica</v>
      </c>
      <c r="D42" s="10" t="str">
        <f t="shared" ref="D42:D50" si="7">IF(B42&gt;0,B42,C42)</f>
        <v>No aplica</v>
      </c>
      <c r="G42" s="41" t="s">
        <v>30</v>
      </c>
      <c r="H42" s="42"/>
      <c r="I42" s="42" t="str">
        <f>D64</f>
        <v>No aplica</v>
      </c>
      <c r="J42" s="42" t="str">
        <f t="shared" si="6"/>
        <v>No aplica</v>
      </c>
    </row>
    <row r="43" spans="1:10" x14ac:dyDescent="0.25">
      <c r="A43" s="7" t="s">
        <v>34</v>
      </c>
      <c r="B43" s="10"/>
      <c r="C43" s="10">
        <f>J56</f>
        <v>0</v>
      </c>
      <c r="D43" s="10">
        <f t="shared" si="7"/>
        <v>0</v>
      </c>
      <c r="G43" s="41" t="s">
        <v>93</v>
      </c>
      <c r="H43" s="42"/>
      <c r="I43" s="42" t="str">
        <f>IFERROR(J41-J42,"No aplica")</f>
        <v>No aplica</v>
      </c>
      <c r="J43" s="42" t="str">
        <f t="shared" si="6"/>
        <v>No aplica</v>
      </c>
    </row>
    <row r="44" spans="1:10" x14ac:dyDescent="0.25">
      <c r="A44" s="7" t="s">
        <v>35</v>
      </c>
      <c r="B44" s="10"/>
      <c r="C44" s="10" t="str">
        <f>IFERROR(D41-D42-D43,"No aplica")</f>
        <v>No aplica</v>
      </c>
      <c r="D44" s="10" t="str">
        <f t="shared" si="7"/>
        <v>No aplica</v>
      </c>
      <c r="G44" s="41" t="s">
        <v>36</v>
      </c>
      <c r="H44" s="42"/>
      <c r="I44" s="42">
        <f>IFERROR(J65-J61,"No aplica")</f>
        <v>0</v>
      </c>
      <c r="J44" s="42">
        <f t="shared" si="6"/>
        <v>0</v>
      </c>
    </row>
    <row r="45" spans="1:10" x14ac:dyDescent="0.25">
      <c r="A45" s="7" t="s">
        <v>89</v>
      </c>
      <c r="B45" s="10"/>
      <c r="C45" s="10" t="str">
        <f>IFERROR(B25-J57-J60,"No aplica")</f>
        <v>No aplica</v>
      </c>
      <c r="D45" s="10" t="str">
        <f t="shared" si="7"/>
        <v>No aplica</v>
      </c>
      <c r="G45" s="41" t="s">
        <v>37</v>
      </c>
      <c r="H45" s="42"/>
      <c r="I45" s="42">
        <f>IFERROR(J64-J59,"No aplica")</f>
        <v>0</v>
      </c>
      <c r="J45" s="42">
        <f t="shared" si="6"/>
        <v>0</v>
      </c>
    </row>
    <row r="46" spans="1:10" x14ac:dyDescent="0.25">
      <c r="A46" s="7" t="s">
        <v>36</v>
      </c>
      <c r="B46" s="10"/>
      <c r="C46" s="10">
        <f>J65</f>
        <v>0</v>
      </c>
      <c r="D46" s="10">
        <f t="shared" si="7"/>
        <v>0</v>
      </c>
      <c r="G46" s="41" t="s">
        <v>38</v>
      </c>
      <c r="H46" s="42"/>
      <c r="I46" s="42" t="str">
        <f>IFERROR(J43-J44-J45,"No aplica")</f>
        <v>No aplica</v>
      </c>
      <c r="J46" s="42" t="str">
        <f t="shared" si="6"/>
        <v>No aplica</v>
      </c>
    </row>
    <row r="47" spans="1:10" x14ac:dyDescent="0.25">
      <c r="A47" s="7" t="s">
        <v>37</v>
      </c>
      <c r="B47" s="10"/>
      <c r="C47" s="10">
        <f>IFERROR(J64-D43-J59,"No aplica")</f>
        <v>0</v>
      </c>
      <c r="D47" s="10">
        <f t="shared" si="7"/>
        <v>0</v>
      </c>
      <c r="G47" s="41" t="s">
        <v>40</v>
      </c>
      <c r="H47" s="42"/>
      <c r="I47" s="42">
        <f>J22</f>
        <v>0</v>
      </c>
      <c r="J47" s="42">
        <f t="shared" si="6"/>
        <v>0</v>
      </c>
    </row>
    <row r="48" spans="1:10" x14ac:dyDescent="0.25">
      <c r="A48" s="7" t="s">
        <v>38</v>
      </c>
      <c r="B48" s="10"/>
      <c r="C48" s="10" t="str">
        <f>IFERROR(D44-D46-D47,"No aplica")</f>
        <v>No aplica</v>
      </c>
      <c r="D48" s="10" t="str">
        <f t="shared" si="7"/>
        <v>No aplica</v>
      </c>
      <c r="G48" s="41" t="s">
        <v>42</v>
      </c>
      <c r="H48" s="42"/>
      <c r="I48" s="42" t="str">
        <f>IFERROR(J46-J47,"No aplica")</f>
        <v>No aplica</v>
      </c>
      <c r="J48" s="42" t="str">
        <f t="shared" si="6"/>
        <v>No aplica</v>
      </c>
    </row>
    <row r="49" spans="1:10" x14ac:dyDescent="0.25">
      <c r="A49" s="7" t="s">
        <v>40</v>
      </c>
      <c r="B49" s="10"/>
      <c r="C49" s="10">
        <f>J22</f>
        <v>0</v>
      </c>
      <c r="D49" s="10">
        <f t="shared" si="7"/>
        <v>0</v>
      </c>
      <c r="G49" s="41" t="s">
        <v>43</v>
      </c>
      <c r="H49" s="43"/>
      <c r="I49" s="43" t="s">
        <v>104</v>
      </c>
      <c r="J49" s="43">
        <f>B3</f>
        <v>0.35</v>
      </c>
    </row>
    <row r="50" spans="1:10" x14ac:dyDescent="0.25">
      <c r="A50" s="7" t="s">
        <v>42</v>
      </c>
      <c r="B50" s="10">
        <f>B52/(1-D51)</f>
        <v>246153.84615384616</v>
      </c>
      <c r="C50" s="10" t="str">
        <f>IFERROR(D48-D49,"No aplica")</f>
        <v>No aplica</v>
      </c>
      <c r="D50" s="10">
        <f t="shared" si="7"/>
        <v>246153.84615384616</v>
      </c>
      <c r="G50" s="41" t="s">
        <v>71</v>
      </c>
      <c r="H50" s="42"/>
      <c r="I50" s="42" t="str">
        <f>IFERROR(J48-(J48*H49),"No aplica")</f>
        <v>No aplica</v>
      </c>
      <c r="J50" s="42" t="str">
        <f>IF(H50&gt;0,H50,I50)</f>
        <v>No aplica</v>
      </c>
    </row>
    <row r="51" spans="1:10" x14ac:dyDescent="0.25">
      <c r="A51" s="7" t="s">
        <v>43</v>
      </c>
      <c r="B51" s="21" t="s">
        <v>104</v>
      </c>
      <c r="C51" s="21" t="s">
        <v>104</v>
      </c>
      <c r="D51" s="21">
        <f>B3</f>
        <v>0.35</v>
      </c>
      <c r="G51" s="7" t="s">
        <v>48</v>
      </c>
      <c r="H51" s="10"/>
      <c r="I51" s="10" t="str">
        <f>IFERROR(IF(B2="FIFO",IF(D29&gt;D23,(D29-D23)*D60,(D30-(D23-D29))*D62),IF(B2="LIFO",IF(D30&gt;D23,(D30-D23)*D62,(D29-(D23-D30))*D60))),"No aplica")</f>
        <v>No aplica</v>
      </c>
      <c r="J51" s="10" t="str">
        <f>IF(H51&gt;0,H51,I51)</f>
        <v>No aplica</v>
      </c>
    </row>
    <row r="52" spans="1:10" x14ac:dyDescent="0.25">
      <c r="A52" s="7" t="s">
        <v>71</v>
      </c>
      <c r="B52" s="10">
        <v>160000</v>
      </c>
      <c r="C52" s="24">
        <f>IFERROR(D50-(D50*D51),"No aplica")</f>
        <v>160000</v>
      </c>
      <c r="D52" s="10">
        <f>IF(B52&gt;0,B52,C52)</f>
        <v>160000</v>
      </c>
    </row>
    <row r="53" spans="1:10" x14ac:dyDescent="0.25">
      <c r="A53" s="7" t="s">
        <v>48</v>
      </c>
      <c r="B53" s="10"/>
      <c r="C53" s="10" t="str">
        <f>IFERROR(IF(B2="FIFO",IF(D29&gt;D26,(D29-D26)*D60,(D30-(D26-D29))*D62),IF(B2="LIFO",IF(D30&gt;D26,(D30-D26)*D62,(D29-(D26-D30))*D60))),"No aplica")</f>
        <v>No aplica</v>
      </c>
      <c r="D53" s="10" t="str">
        <f>IF(B53&gt;0,B53,C53)</f>
        <v>No aplica</v>
      </c>
    </row>
    <row r="55" spans="1:10" x14ac:dyDescent="0.25">
      <c r="A55" s="5" t="s">
        <v>11</v>
      </c>
      <c r="B55" s="5" t="s">
        <v>10</v>
      </c>
      <c r="C55" s="5" t="s">
        <v>9</v>
      </c>
      <c r="D55" s="5" t="s">
        <v>39</v>
      </c>
      <c r="G55" s="5" t="s">
        <v>12</v>
      </c>
      <c r="H55" s="5" t="s">
        <v>10</v>
      </c>
      <c r="I55" s="5" t="s">
        <v>9</v>
      </c>
      <c r="J55" s="5" t="s">
        <v>39</v>
      </c>
    </row>
    <row r="56" spans="1:10" x14ac:dyDescent="0.25">
      <c r="A56" s="4" t="s">
        <v>88</v>
      </c>
      <c r="B56" s="15"/>
      <c r="C56" s="15">
        <v>0</v>
      </c>
      <c r="D56" s="15">
        <f t="shared" ref="D56:D64" si="8">IF(B56&gt;0,B56,C56)</f>
        <v>0</v>
      </c>
      <c r="G56" s="6" t="s">
        <v>14</v>
      </c>
      <c r="H56" s="15"/>
      <c r="I56" s="15">
        <v>0</v>
      </c>
      <c r="J56" s="15">
        <f t="shared" ref="J56:J65" si="9">IF(H56&gt;0,H56,I56)</f>
        <v>0</v>
      </c>
    </row>
    <row r="57" spans="1:10" x14ac:dyDescent="0.25">
      <c r="A57" s="4" t="s">
        <v>87</v>
      </c>
      <c r="B57" s="15"/>
      <c r="C57" s="15">
        <v>0</v>
      </c>
      <c r="D57" s="15">
        <f t="shared" si="8"/>
        <v>0</v>
      </c>
      <c r="G57" s="6" t="s">
        <v>91</v>
      </c>
      <c r="H57" s="15"/>
      <c r="I57" s="20" t="str">
        <f>IFERROR(J56/D25,"No aplica")</f>
        <v>No aplica</v>
      </c>
      <c r="J57" s="15" t="str">
        <f t="shared" si="9"/>
        <v>No aplica</v>
      </c>
    </row>
    <row r="58" spans="1:10" x14ac:dyDescent="0.25">
      <c r="A58" s="8" t="s">
        <v>84</v>
      </c>
      <c r="B58" s="10"/>
      <c r="C58" s="10">
        <f>IFERROR(IF(B2="FIFO",IF(D34&gt;D37,D37*D56,(D56*D34)+((D37-D34)*D57)),IF(B2="LIFO",IF(D35&gt;D37,D37*D57,(D57*D35)+((D37-D35)*D56)))),"No aplica")</f>
        <v>0</v>
      </c>
      <c r="D58" s="10">
        <f t="shared" si="8"/>
        <v>0</v>
      </c>
      <c r="G58" s="3" t="s">
        <v>15</v>
      </c>
      <c r="H58" s="15"/>
      <c r="I58" s="15">
        <v>0</v>
      </c>
      <c r="J58" s="15">
        <f t="shared" si="9"/>
        <v>0</v>
      </c>
    </row>
    <row r="59" spans="1:10" x14ac:dyDescent="0.25">
      <c r="A59" s="8" t="s">
        <v>85</v>
      </c>
      <c r="B59" s="10"/>
      <c r="C59" s="10">
        <v>0</v>
      </c>
      <c r="D59" s="10">
        <f t="shared" si="8"/>
        <v>0</v>
      </c>
      <c r="G59" s="4" t="s">
        <v>17</v>
      </c>
      <c r="H59" s="15"/>
      <c r="I59" s="20">
        <f>IFERROR(J60*D29,"No aplica")</f>
        <v>0</v>
      </c>
      <c r="J59" s="15">
        <f t="shared" si="9"/>
        <v>0</v>
      </c>
    </row>
    <row r="60" spans="1:10" x14ac:dyDescent="0.25">
      <c r="A60" s="8" t="s">
        <v>46</v>
      </c>
      <c r="B60" s="10"/>
      <c r="C60" s="10">
        <v>0</v>
      </c>
      <c r="D60" s="10">
        <f t="shared" si="8"/>
        <v>0</v>
      </c>
      <c r="G60" s="4" t="s">
        <v>90</v>
      </c>
      <c r="H60" s="15"/>
      <c r="I60" s="15">
        <v>0</v>
      </c>
      <c r="J60" s="15">
        <f t="shared" si="9"/>
        <v>0</v>
      </c>
    </row>
    <row r="61" spans="1:10" x14ac:dyDescent="0.25">
      <c r="A61" s="8" t="s">
        <v>47</v>
      </c>
      <c r="B61" s="10"/>
      <c r="C61" s="24">
        <f>IFERROR(D60*D29,"No aplica")</f>
        <v>0</v>
      </c>
      <c r="D61" s="10">
        <f t="shared" si="8"/>
        <v>0</v>
      </c>
      <c r="G61" s="3" t="s">
        <v>16</v>
      </c>
      <c r="H61" s="15"/>
      <c r="I61" s="15">
        <v>0</v>
      </c>
      <c r="J61" s="15">
        <f t="shared" si="9"/>
        <v>0</v>
      </c>
    </row>
    <row r="62" spans="1:10" x14ac:dyDescent="0.25">
      <c r="A62" s="7" t="s">
        <v>45</v>
      </c>
      <c r="B62" s="10"/>
      <c r="C62" s="10" t="str">
        <f>IFERROR(IF(B1="DIRECTO",(D58+D59+J59)/D29,IF(B1="ABSORCIÓN",(D58+D59+J59+J61)/D29)),"No aplica")</f>
        <v>No aplica</v>
      </c>
      <c r="D62" s="10" t="str">
        <f t="shared" si="8"/>
        <v>No aplica</v>
      </c>
      <c r="G62" s="3" t="s">
        <v>18</v>
      </c>
      <c r="H62" s="15"/>
      <c r="I62" s="15">
        <v>0</v>
      </c>
      <c r="J62" s="15">
        <f t="shared" si="9"/>
        <v>0</v>
      </c>
    </row>
    <row r="63" spans="1:10" x14ac:dyDescent="0.25">
      <c r="A63" s="8" t="s">
        <v>13</v>
      </c>
      <c r="B63" s="10"/>
      <c r="C63" s="10">
        <v>0</v>
      </c>
      <c r="D63" s="10">
        <f t="shared" si="8"/>
        <v>0</v>
      </c>
      <c r="G63" s="3" t="s">
        <v>19</v>
      </c>
      <c r="H63" s="15"/>
      <c r="I63" s="15">
        <v>0</v>
      </c>
      <c r="J63" s="15">
        <f t="shared" si="9"/>
        <v>0</v>
      </c>
    </row>
    <row r="64" spans="1:10" x14ac:dyDescent="0.25">
      <c r="A64" s="8" t="s">
        <v>30</v>
      </c>
      <c r="B64" s="10"/>
      <c r="C64" s="10" t="str">
        <f>IFERROR(IF(B2="FIFO",IF(D29&gt;D25,D25*D60,D61+((D25-D29)*D62)),IF(B2="LIFO",IF(D29&gt;D25,D25*D62,D63+((D25-D29)*D60)))),"No aplica")</f>
        <v>No aplica</v>
      </c>
      <c r="D64" s="10" t="str">
        <f t="shared" si="8"/>
        <v>No aplica</v>
      </c>
      <c r="G64" s="16" t="s">
        <v>37</v>
      </c>
      <c r="H64" s="17"/>
      <c r="I64" s="17">
        <f>IFERROR(J56+J59+J62,"No aplica")</f>
        <v>0</v>
      </c>
      <c r="J64" s="17">
        <f t="shared" si="9"/>
        <v>0</v>
      </c>
    </row>
    <row r="65" spans="1:10" x14ac:dyDescent="0.25">
      <c r="G65" s="16" t="s">
        <v>36</v>
      </c>
      <c r="H65" s="17"/>
      <c r="I65" s="17">
        <f>IFERROR(J58+J61+J63,"No aplica")</f>
        <v>0</v>
      </c>
      <c r="J65" s="17">
        <f t="shared" si="9"/>
        <v>0</v>
      </c>
    </row>
    <row r="66" spans="1:10" x14ac:dyDescent="0.25">
      <c r="A66" s="23"/>
      <c r="B66" s="23"/>
      <c r="C66" s="23"/>
      <c r="D66" s="23"/>
      <c r="E66" s="23"/>
      <c r="F66" s="23"/>
      <c r="G66" s="23"/>
      <c r="H66" s="23"/>
      <c r="I66" s="23"/>
      <c r="J66" s="23"/>
    </row>
    <row r="67" spans="1:10" x14ac:dyDescent="0.25">
      <c r="A67" s="5" t="s">
        <v>27</v>
      </c>
      <c r="B67" s="5" t="s">
        <v>10</v>
      </c>
      <c r="C67" s="5" t="s">
        <v>9</v>
      </c>
      <c r="D67" s="5" t="s">
        <v>39</v>
      </c>
      <c r="E67" s="14" t="s">
        <v>108</v>
      </c>
    </row>
    <row r="68" spans="1:10" x14ac:dyDescent="0.25">
      <c r="A68" s="8" t="s">
        <v>54</v>
      </c>
      <c r="B68" s="26"/>
      <c r="C68" s="26">
        <f>IFERROR(J29/(J29+J35),"No aplica")</f>
        <v>0.13253012048192772</v>
      </c>
      <c r="D68" s="26">
        <f>IF(B68&gt;0,B68,C68)</f>
        <v>0.13253012048192772</v>
      </c>
      <c r="E68" s="26" t="s">
        <v>104</v>
      </c>
    </row>
    <row r="69" spans="1:10" x14ac:dyDescent="0.25">
      <c r="A69" s="8" t="s">
        <v>103</v>
      </c>
      <c r="B69" s="21"/>
      <c r="C69" s="21">
        <f>IFERROR(D68*(E69*(1-B3)),"No aplica")</f>
        <v>8.6144578313253027E-3</v>
      </c>
      <c r="D69" s="21">
        <f>IF(B69&gt;0,B69,C69)</f>
        <v>8.6144578313253027E-3</v>
      </c>
      <c r="E69" s="21">
        <v>0.1</v>
      </c>
    </row>
    <row r="70" spans="1:10" x14ac:dyDescent="0.25">
      <c r="A70" s="8" t="s">
        <v>55</v>
      </c>
      <c r="B70" s="26"/>
      <c r="C70" s="26">
        <f>IFERROR(J35/(J29+J35),"No aplica")</f>
        <v>0.86746987951807231</v>
      </c>
      <c r="D70" s="26">
        <f>IF(B70&gt;0,B70,C70)</f>
        <v>0.86746987951807231</v>
      </c>
      <c r="E70" s="26" t="s">
        <v>104</v>
      </c>
    </row>
    <row r="71" spans="1:10" x14ac:dyDescent="0.25">
      <c r="A71" s="8" t="s">
        <v>102</v>
      </c>
      <c r="B71" s="26"/>
      <c r="C71" s="26">
        <f>D70*E71</f>
        <v>0.1908433734939759</v>
      </c>
      <c r="D71" s="26">
        <f>IF(B71&gt;0,B71,C71)</f>
        <v>0.1908433734939759</v>
      </c>
      <c r="E71" s="26">
        <v>0.22</v>
      </c>
    </row>
    <row r="72" spans="1:10" x14ac:dyDescent="0.25">
      <c r="A72" s="30" t="s">
        <v>56</v>
      </c>
      <c r="B72" s="29"/>
      <c r="C72" s="29">
        <f>IFERROR(D69+D71,"No aplica")</f>
        <v>0.1994578313253012</v>
      </c>
      <c r="D72" s="29">
        <f>IF(B72&gt;0,B72,C72)</f>
        <v>0.1994578313253012</v>
      </c>
      <c r="E72" s="29"/>
    </row>
  </sheetData>
  <mergeCells count="4">
    <mergeCell ref="A39:D39"/>
    <mergeCell ref="G39:J39"/>
    <mergeCell ref="A16:D16"/>
    <mergeCell ref="A7:D7"/>
  </mergeCells>
  <dataValidations count="2">
    <dataValidation type="list" allowBlank="1" showInputMessage="1" showErrorMessage="1" sqref="B1" xr:uid="{98B2443D-75E9-4544-9829-86B49AC69D11}">
      <formula1>"DIRECTO,ABSORCIÓN"</formula1>
    </dataValidation>
    <dataValidation type="list" allowBlank="1" showInputMessage="1" showErrorMessage="1" sqref="B2" xr:uid="{00000000-0002-0000-0100-000000000000}">
      <formula1>"FIFO,LIFO,PPP"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3B83B-9F30-4EB5-B0AA-A5677588D50E}">
  <dimension ref="A1:J72"/>
  <sheetViews>
    <sheetView topLeftCell="A7" workbookViewId="0">
      <selection activeCell="C17" sqref="C17:D21"/>
    </sheetView>
  </sheetViews>
  <sheetFormatPr baseColWidth="10" defaultRowHeight="15" x14ac:dyDescent="0.25"/>
  <cols>
    <col min="1" max="1" width="48.42578125" customWidth="1"/>
    <col min="2" max="3" width="14.140625" customWidth="1"/>
    <col min="4" max="4" width="14" customWidth="1"/>
    <col min="7" max="7" width="43.28515625" customWidth="1"/>
    <col min="8" max="8" width="13.28515625" customWidth="1"/>
    <col min="9" max="9" width="13.85546875" customWidth="1"/>
    <col min="10" max="10" width="14" customWidth="1"/>
    <col min="11" max="11" width="11.42578125" customWidth="1"/>
  </cols>
  <sheetData>
    <row r="1" spans="1:10" x14ac:dyDescent="0.25">
      <c r="A1" s="14" t="s">
        <v>51</v>
      </c>
      <c r="B1" s="2" t="s">
        <v>147</v>
      </c>
      <c r="G1" s="1"/>
      <c r="H1" s="1"/>
      <c r="I1" s="1"/>
      <c r="J1" s="1"/>
    </row>
    <row r="2" spans="1:10" x14ac:dyDescent="0.25">
      <c r="A2" s="14" t="s">
        <v>49</v>
      </c>
      <c r="B2" s="2" t="s">
        <v>92</v>
      </c>
    </row>
    <row r="3" spans="1:10" x14ac:dyDescent="0.25">
      <c r="A3" s="14" t="s">
        <v>7</v>
      </c>
      <c r="B3" s="25">
        <v>0.35</v>
      </c>
    </row>
    <row r="5" spans="1:10" x14ac:dyDescent="0.25">
      <c r="A5" s="14" t="s">
        <v>26</v>
      </c>
      <c r="B5" s="14" t="s">
        <v>10</v>
      </c>
      <c r="C5" s="14" t="s">
        <v>9</v>
      </c>
      <c r="D5" s="14" t="s">
        <v>39</v>
      </c>
      <c r="F5" s="12"/>
      <c r="G5" s="14" t="s">
        <v>8</v>
      </c>
      <c r="H5" s="14" t="s">
        <v>10</v>
      </c>
      <c r="I5" s="14" t="s">
        <v>9</v>
      </c>
      <c r="J5" s="14" t="s">
        <v>39</v>
      </c>
    </row>
    <row r="6" spans="1:10" x14ac:dyDescent="0.25">
      <c r="A6" s="3" t="s">
        <v>28</v>
      </c>
      <c r="B6" s="15"/>
      <c r="C6" s="15">
        <f>IFERROR(J6+J7,"No aplica")</f>
        <v>150000</v>
      </c>
      <c r="D6" s="15">
        <f>IF(B6&gt;0,B6,C6)</f>
        <v>150000</v>
      </c>
      <c r="E6" s="9"/>
      <c r="F6" s="12"/>
      <c r="G6" s="3" t="s">
        <v>1</v>
      </c>
      <c r="H6" s="15">
        <v>100000</v>
      </c>
      <c r="I6" s="15">
        <v>0</v>
      </c>
      <c r="J6" s="15">
        <f t="shared" ref="J6:J24" si="0">IF(H6&gt;0,H6,I6)</f>
        <v>100000</v>
      </c>
    </row>
    <row r="7" spans="1:10" x14ac:dyDescent="0.25">
      <c r="A7" s="32" t="s">
        <v>98</v>
      </c>
      <c r="B7" s="32"/>
      <c r="C7" s="32"/>
      <c r="D7" s="32"/>
      <c r="E7" s="9"/>
      <c r="F7" s="12"/>
      <c r="G7" s="3" t="s">
        <v>2</v>
      </c>
      <c r="H7" s="15">
        <v>50000</v>
      </c>
      <c r="I7" s="15">
        <v>0</v>
      </c>
      <c r="J7" s="15">
        <f t="shared" si="0"/>
        <v>50000</v>
      </c>
    </row>
    <row r="8" spans="1:10" x14ac:dyDescent="0.25">
      <c r="A8" s="8" t="s">
        <v>3</v>
      </c>
      <c r="B8" s="18"/>
      <c r="C8" s="18">
        <f>IFERROR(D26/J34,"No aplica")</f>
        <v>0.50343249427917625</v>
      </c>
      <c r="D8" s="18">
        <f t="shared" ref="D8:D14" si="1">IF(B8&gt;0,B8,C8)</f>
        <v>0.50343249427917625</v>
      </c>
      <c r="E8" s="9"/>
      <c r="F8" s="12"/>
      <c r="G8" s="3" t="s">
        <v>105</v>
      </c>
      <c r="H8" s="15">
        <v>160000</v>
      </c>
      <c r="I8" s="15">
        <v>0</v>
      </c>
      <c r="J8" s="15">
        <f t="shared" si="0"/>
        <v>160000</v>
      </c>
    </row>
    <row r="9" spans="1:10" x14ac:dyDescent="0.25">
      <c r="A9" s="8" t="s">
        <v>6</v>
      </c>
      <c r="B9" s="18"/>
      <c r="C9" s="18">
        <f>IFERROR(IF(B1="DIRECTO",D50,J48)/J31,"No aplica")</f>
        <v>0.24813895781637718</v>
      </c>
      <c r="D9" s="18">
        <f t="shared" si="1"/>
        <v>0.24813895781637718</v>
      </c>
      <c r="E9" s="9"/>
      <c r="F9" s="12"/>
      <c r="G9" s="3" t="s">
        <v>72</v>
      </c>
      <c r="H9" s="15"/>
      <c r="I9" s="15">
        <v>0</v>
      </c>
      <c r="J9" s="15">
        <f t="shared" si="0"/>
        <v>0</v>
      </c>
    </row>
    <row r="10" spans="1:10" x14ac:dyDescent="0.25">
      <c r="A10" s="8" t="s">
        <v>95</v>
      </c>
      <c r="B10" s="44"/>
      <c r="C10" s="44">
        <f>IFERROR(D26/J6,"No aplica")</f>
        <v>11</v>
      </c>
      <c r="D10" s="45">
        <f t="shared" si="1"/>
        <v>11</v>
      </c>
      <c r="E10" s="9"/>
      <c r="F10" s="12"/>
      <c r="G10" s="3" t="s">
        <v>61</v>
      </c>
      <c r="H10" s="15">
        <v>904000</v>
      </c>
      <c r="I10" s="15">
        <v>0</v>
      </c>
      <c r="J10" s="15">
        <f t="shared" si="0"/>
        <v>904000</v>
      </c>
    </row>
    <row r="11" spans="1:10" x14ac:dyDescent="0.25">
      <c r="A11" s="8" t="s">
        <v>96</v>
      </c>
      <c r="B11" s="19"/>
      <c r="C11" s="19">
        <f>IFERROR(D26/J8,"No aplica")</f>
        <v>6.875</v>
      </c>
      <c r="D11" s="18">
        <f t="shared" si="1"/>
        <v>6.875</v>
      </c>
      <c r="E11" s="9"/>
      <c r="F11" s="12"/>
      <c r="G11" s="3" t="s">
        <v>62</v>
      </c>
      <c r="H11" s="15">
        <v>1283000</v>
      </c>
      <c r="I11" s="15">
        <v>0</v>
      </c>
      <c r="J11" s="15">
        <f t="shared" si="0"/>
        <v>1283000</v>
      </c>
    </row>
    <row r="12" spans="1:10" x14ac:dyDescent="0.25">
      <c r="A12" s="8" t="s">
        <v>4</v>
      </c>
      <c r="B12" s="21"/>
      <c r="C12" s="21">
        <f>IFERROR(IF(B1="DIRECTO",D52,J50)/D26,"No aplica")</f>
        <v>4.5454545454545456E-2</v>
      </c>
      <c r="D12" s="21">
        <f t="shared" si="1"/>
        <v>4.5454545454545456E-2</v>
      </c>
      <c r="E12" s="9"/>
      <c r="F12" s="12"/>
      <c r="G12" s="3" t="s">
        <v>63</v>
      </c>
      <c r="H12" s="15">
        <v>148000</v>
      </c>
      <c r="I12" s="15">
        <v>0</v>
      </c>
      <c r="J12" s="15">
        <f t="shared" si="0"/>
        <v>148000</v>
      </c>
    </row>
    <row r="13" spans="1:10" x14ac:dyDescent="0.25">
      <c r="A13" s="8" t="s">
        <v>44</v>
      </c>
      <c r="B13" s="21"/>
      <c r="C13" s="21">
        <f>IFERROR(D12*D8,"No aplica")</f>
        <v>2.2883295194508012E-2</v>
      </c>
      <c r="D13" s="21">
        <f t="shared" si="1"/>
        <v>2.2883295194508012E-2</v>
      </c>
      <c r="F13" s="12"/>
      <c r="G13" s="3" t="s">
        <v>64</v>
      </c>
      <c r="H13" s="15">
        <v>200000</v>
      </c>
      <c r="I13" s="15">
        <v>0</v>
      </c>
      <c r="J13" s="15">
        <f t="shared" si="0"/>
        <v>200000</v>
      </c>
    </row>
    <row r="14" spans="1:10" x14ac:dyDescent="0.25">
      <c r="A14" s="8" t="s">
        <v>60</v>
      </c>
      <c r="B14" s="21"/>
      <c r="C14" s="21">
        <f>IFERROR(IF(B1="DIRECTO",D50,J48)/J32,"No aplica")</f>
        <v>2.9082448742184092E-2</v>
      </c>
      <c r="D14" s="21">
        <f t="shared" si="1"/>
        <v>2.9082448742184092E-2</v>
      </c>
      <c r="F14" s="12"/>
      <c r="G14" s="3" t="s">
        <v>66</v>
      </c>
      <c r="H14" s="15">
        <v>50000</v>
      </c>
      <c r="I14" s="15">
        <v>0</v>
      </c>
      <c r="J14" s="15">
        <f t="shared" si="0"/>
        <v>50000</v>
      </c>
    </row>
    <row r="15" spans="1:10" x14ac:dyDescent="0.25">
      <c r="A15" s="8" t="s">
        <v>94</v>
      </c>
      <c r="B15" s="19"/>
      <c r="C15" s="19">
        <f>IFERROR(D13/D14,"No aplica")</f>
        <v>0.78684210526315801</v>
      </c>
      <c r="D15" s="18">
        <f>IF(B15&gt;0,B15,C15)</f>
        <v>0.78684210526315801</v>
      </c>
      <c r="G15" s="3" t="s">
        <v>65</v>
      </c>
      <c r="H15" s="15">
        <v>150000</v>
      </c>
      <c r="I15" s="15">
        <v>0</v>
      </c>
      <c r="J15" s="15">
        <f t="shared" si="0"/>
        <v>150000</v>
      </c>
    </row>
    <row r="16" spans="1:10" x14ac:dyDescent="0.25">
      <c r="A16" s="32" t="s">
        <v>97</v>
      </c>
      <c r="B16" s="32"/>
      <c r="C16" s="32"/>
      <c r="D16" s="32"/>
      <c r="G16" s="3" t="s">
        <v>67</v>
      </c>
      <c r="H16" s="15">
        <v>35000</v>
      </c>
      <c r="I16" s="15">
        <v>0</v>
      </c>
      <c r="J16" s="15">
        <f t="shared" si="0"/>
        <v>35000</v>
      </c>
    </row>
    <row r="17" spans="1:10" x14ac:dyDescent="0.25">
      <c r="A17" s="8" t="s">
        <v>5</v>
      </c>
      <c r="B17" s="18"/>
      <c r="C17" s="18">
        <f>IFERROR(D6/J28, "No aplica")</f>
        <v>0.42857142857142855</v>
      </c>
      <c r="D17" s="18">
        <f t="shared" ref="D17:D18" si="2">IF(B17&gt;0,B17,C17)</f>
        <v>0.42857142857142855</v>
      </c>
      <c r="G17" s="3" t="s">
        <v>68</v>
      </c>
      <c r="H17" s="15"/>
      <c r="I17" s="15">
        <v>0</v>
      </c>
      <c r="J17" s="15">
        <f t="shared" si="0"/>
        <v>0</v>
      </c>
    </row>
    <row r="18" spans="1:10" x14ac:dyDescent="0.25">
      <c r="A18" s="8" t="s">
        <v>99</v>
      </c>
      <c r="B18" s="18"/>
      <c r="C18" s="18">
        <f>IFERROR((D6-J6)/J28, "No aplica")</f>
        <v>0.14285714285714285</v>
      </c>
      <c r="D18" s="18">
        <f t="shared" si="2"/>
        <v>0.14285714285714285</v>
      </c>
      <c r="G18" s="3" t="s">
        <v>69</v>
      </c>
      <c r="H18" s="15"/>
      <c r="I18" s="15">
        <v>0</v>
      </c>
      <c r="J18" s="15">
        <f t="shared" si="0"/>
        <v>0</v>
      </c>
    </row>
    <row r="19" spans="1:10" x14ac:dyDescent="0.25">
      <c r="A19" s="8" t="s">
        <v>100</v>
      </c>
      <c r="B19" s="18"/>
      <c r="C19" s="18">
        <f>IFERROR((J8+D6)/J28,"No aplica")</f>
        <v>0.88571428571428568</v>
      </c>
      <c r="D19" s="18">
        <f>IF(B19&gt;0,B19,C19)</f>
        <v>0.88571428571428568</v>
      </c>
      <c r="G19" s="16" t="s">
        <v>74</v>
      </c>
      <c r="H19" s="17"/>
      <c r="I19" s="17">
        <f>IFERROR(J13+J15+J17,"No aplica")</f>
        <v>350000</v>
      </c>
      <c r="J19" s="17">
        <f t="shared" si="0"/>
        <v>350000</v>
      </c>
    </row>
    <row r="20" spans="1:10" x14ac:dyDescent="0.25">
      <c r="A20" s="8" t="s">
        <v>101</v>
      </c>
      <c r="B20" s="18"/>
      <c r="C20" s="18">
        <f>IFERROR(1-D21,"No aplica")</f>
        <v>0.83553875236294894</v>
      </c>
      <c r="D20" s="18">
        <f t="shared" ref="D20" si="3">IF(B20&gt;0,B20,C20)</f>
        <v>0.83553875236294894</v>
      </c>
      <c r="G20" s="16" t="s">
        <v>75</v>
      </c>
      <c r="H20" s="17"/>
      <c r="I20" s="17">
        <f>IFERROR(J14+J16+J18,"No aplica")</f>
        <v>85000</v>
      </c>
      <c r="J20" s="17">
        <f t="shared" si="0"/>
        <v>85000</v>
      </c>
    </row>
    <row r="21" spans="1:10" x14ac:dyDescent="0.25">
      <c r="A21" s="8" t="s">
        <v>29</v>
      </c>
      <c r="B21" s="21"/>
      <c r="C21" s="21">
        <f>IFERROR(J29/J32,"No aplica")</f>
        <v>0.16446124763705103</v>
      </c>
      <c r="D21" s="21">
        <f>IF(B21&gt;0,B21,C21)</f>
        <v>0.16446124763705103</v>
      </c>
      <c r="G21" s="27" t="s">
        <v>57</v>
      </c>
      <c r="H21" s="28"/>
      <c r="I21" s="28">
        <f>IFERROR(J19+J20,"No aplica")</f>
        <v>435000</v>
      </c>
      <c r="J21" s="28">
        <f t="shared" si="0"/>
        <v>435000</v>
      </c>
    </row>
    <row r="22" spans="1:10" x14ac:dyDescent="0.25">
      <c r="G22" s="3" t="s">
        <v>41</v>
      </c>
      <c r="H22" s="15"/>
      <c r="I22" s="15">
        <v>0</v>
      </c>
      <c r="J22" s="15">
        <f t="shared" si="0"/>
        <v>0</v>
      </c>
    </row>
    <row r="23" spans="1:10" x14ac:dyDescent="0.25">
      <c r="A23" s="14" t="s">
        <v>106</v>
      </c>
      <c r="B23" s="14" t="s">
        <v>10</v>
      </c>
      <c r="C23" s="14" t="s">
        <v>9</v>
      </c>
      <c r="D23" s="14" t="s">
        <v>39</v>
      </c>
      <c r="G23" s="3" t="s">
        <v>58</v>
      </c>
      <c r="H23" s="15"/>
      <c r="I23" s="15">
        <v>0</v>
      </c>
      <c r="J23" s="15">
        <f t="shared" si="0"/>
        <v>0</v>
      </c>
    </row>
    <row r="24" spans="1:10" x14ac:dyDescent="0.25">
      <c r="A24" s="4" t="s">
        <v>50</v>
      </c>
      <c r="B24" s="15"/>
      <c r="C24" s="15">
        <v>0</v>
      </c>
      <c r="D24" s="15">
        <f>IF(B24&gt;0,B24,C24)</f>
        <v>0</v>
      </c>
      <c r="G24" s="3" t="s">
        <v>73</v>
      </c>
      <c r="H24" s="15"/>
      <c r="I24" s="15">
        <v>0</v>
      </c>
      <c r="J24" s="15">
        <f t="shared" si="0"/>
        <v>0</v>
      </c>
    </row>
    <row r="25" spans="1:10" x14ac:dyDescent="0.25">
      <c r="A25" s="4" t="s">
        <v>20</v>
      </c>
      <c r="B25" s="4"/>
      <c r="C25" s="11">
        <f>IFERROR(D29+D30-D31,"No aplica")</f>
        <v>0</v>
      </c>
      <c r="D25" s="11">
        <f>IF(B25&gt;0,B25,C25)</f>
        <v>0</v>
      </c>
      <c r="G25" s="13"/>
    </row>
    <row r="26" spans="1:10" x14ac:dyDescent="0.25">
      <c r="A26" s="3" t="s">
        <v>33</v>
      </c>
      <c r="B26" s="15">
        <v>1100000</v>
      </c>
      <c r="C26" s="20">
        <f>IFERROR(D24*D25,"No aplica")</f>
        <v>0</v>
      </c>
      <c r="D26" s="15">
        <f>IF(B26&gt;0,B26,C26)</f>
        <v>1100000</v>
      </c>
      <c r="G26" s="14" t="s">
        <v>21</v>
      </c>
      <c r="H26" s="14" t="s">
        <v>10</v>
      </c>
      <c r="I26" s="14" t="s">
        <v>9</v>
      </c>
      <c r="J26" s="14" t="s">
        <v>39</v>
      </c>
    </row>
    <row r="27" spans="1:10" x14ac:dyDescent="0.25">
      <c r="G27" s="7" t="s">
        <v>25</v>
      </c>
      <c r="H27" s="10"/>
      <c r="I27" s="10">
        <f>J20</f>
        <v>85000</v>
      </c>
      <c r="J27" s="10">
        <f t="shared" ref="J27:J35" si="4">IF(H27&gt;0,H27,I27)</f>
        <v>85000</v>
      </c>
    </row>
    <row r="28" spans="1:10" x14ac:dyDescent="0.25">
      <c r="A28" s="14" t="s">
        <v>107</v>
      </c>
      <c r="B28" s="14" t="s">
        <v>10</v>
      </c>
      <c r="C28" s="14" t="s">
        <v>9</v>
      </c>
      <c r="D28" s="14" t="s">
        <v>39</v>
      </c>
      <c r="G28" s="7" t="s">
        <v>24</v>
      </c>
      <c r="H28" s="10"/>
      <c r="I28" s="10">
        <f>J19</f>
        <v>350000</v>
      </c>
      <c r="J28" s="10">
        <f t="shared" si="4"/>
        <v>350000</v>
      </c>
    </row>
    <row r="29" spans="1:10" x14ac:dyDescent="0.25">
      <c r="A29" s="4" t="s">
        <v>81</v>
      </c>
      <c r="B29" s="11"/>
      <c r="C29" s="11">
        <v>0</v>
      </c>
      <c r="D29" s="11">
        <f>IF(B29&gt;0,B29,C29)</f>
        <v>0</v>
      </c>
      <c r="G29" s="22" t="s">
        <v>53</v>
      </c>
      <c r="H29" s="17"/>
      <c r="I29" s="17">
        <f>IFERROR(J27+J28,"No aplica")</f>
        <v>435000</v>
      </c>
      <c r="J29" s="17">
        <f t="shared" si="4"/>
        <v>435000</v>
      </c>
    </row>
    <row r="30" spans="1:10" x14ac:dyDescent="0.25">
      <c r="A30" s="4" t="s">
        <v>82</v>
      </c>
      <c r="B30" s="11"/>
      <c r="C30" s="11">
        <v>0</v>
      </c>
      <c r="D30" s="11">
        <f>IF(B30&gt;0,B30,C30)</f>
        <v>0</v>
      </c>
      <c r="G30" s="7" t="s">
        <v>22</v>
      </c>
      <c r="H30" s="10"/>
      <c r="I30" s="10">
        <f>IFERROR(J10+J11+J12+J9,"No aplica")</f>
        <v>2335000</v>
      </c>
      <c r="J30" s="10">
        <f t="shared" si="4"/>
        <v>2335000</v>
      </c>
    </row>
    <row r="31" spans="1:10" x14ac:dyDescent="0.25">
      <c r="A31" s="4" t="s">
        <v>83</v>
      </c>
      <c r="B31" s="11"/>
      <c r="C31" s="11">
        <v>0</v>
      </c>
      <c r="D31" s="11">
        <f>IF(B31&gt;0,B31,C31)</f>
        <v>0</v>
      </c>
      <c r="G31" s="7" t="s">
        <v>23</v>
      </c>
      <c r="H31" s="10"/>
      <c r="I31" s="10">
        <f>IFERROR(J6+J7+J8,"No aplica")</f>
        <v>310000</v>
      </c>
      <c r="J31" s="10">
        <f t="shared" si="4"/>
        <v>310000</v>
      </c>
    </row>
    <row r="32" spans="1:10" x14ac:dyDescent="0.25">
      <c r="G32" s="22" t="s">
        <v>52</v>
      </c>
      <c r="H32" s="17"/>
      <c r="I32" s="17">
        <f>IFERROR(J30+J31,"No aplica")</f>
        <v>2645000</v>
      </c>
      <c r="J32" s="17">
        <f t="shared" si="4"/>
        <v>2645000</v>
      </c>
    </row>
    <row r="33" spans="1:10" ht="15" customHeight="1" x14ac:dyDescent="0.25">
      <c r="A33" s="14" t="s">
        <v>86</v>
      </c>
      <c r="B33" s="14" t="s">
        <v>76</v>
      </c>
      <c r="C33" s="14" t="s">
        <v>9</v>
      </c>
      <c r="D33" s="14" t="s">
        <v>39</v>
      </c>
      <c r="G33" s="8" t="s">
        <v>59</v>
      </c>
      <c r="H33" s="10">
        <v>2160000</v>
      </c>
      <c r="I33" s="10">
        <f>J24</f>
        <v>0</v>
      </c>
      <c r="J33" s="10">
        <f t="shared" si="4"/>
        <v>2160000</v>
      </c>
    </row>
    <row r="34" spans="1:10" x14ac:dyDescent="0.25">
      <c r="A34" s="4" t="s">
        <v>77</v>
      </c>
      <c r="B34" s="11"/>
      <c r="C34" s="11">
        <v>0</v>
      </c>
      <c r="D34" s="11">
        <f>IF(B34&gt;0,B34,C34)</f>
        <v>0</v>
      </c>
      <c r="G34" s="8" t="s">
        <v>0</v>
      </c>
      <c r="H34" s="10"/>
      <c r="I34" s="10">
        <f>IFERROR(AVERAGE(J33,J35),"No aplica")</f>
        <v>2185000</v>
      </c>
      <c r="J34" s="10">
        <f t="shared" si="4"/>
        <v>2185000</v>
      </c>
    </row>
    <row r="35" spans="1:10" x14ac:dyDescent="0.25">
      <c r="A35" s="4" t="s">
        <v>78</v>
      </c>
      <c r="B35" s="11"/>
      <c r="C35" s="11">
        <v>0</v>
      </c>
      <c r="D35" s="11">
        <f>IF(B35&gt;0,B35,C35)</f>
        <v>0</v>
      </c>
      <c r="G35" s="16" t="s">
        <v>70</v>
      </c>
      <c r="H35" s="17"/>
      <c r="I35" s="17">
        <f>IFERROR(IF(B1="DIRECTO",J33+D52,J33+J50),"No aplica")</f>
        <v>2210000</v>
      </c>
      <c r="J35" s="17">
        <f t="shared" si="4"/>
        <v>2210000</v>
      </c>
    </row>
    <row r="36" spans="1:10" x14ac:dyDescent="0.25">
      <c r="A36" s="4" t="s">
        <v>79</v>
      </c>
      <c r="B36" s="11"/>
      <c r="C36" s="11">
        <v>0</v>
      </c>
      <c r="D36" s="11">
        <f>IF(B36&gt;0,B36,C36)</f>
        <v>0</v>
      </c>
    </row>
    <row r="37" spans="1:10" x14ac:dyDescent="0.25">
      <c r="A37" s="7" t="s">
        <v>80</v>
      </c>
      <c r="B37" s="11"/>
      <c r="C37" s="11">
        <f>IFERROR(D34+D35-D36,"No aplica")</f>
        <v>0</v>
      </c>
      <c r="D37" s="11">
        <f>IF(B37&gt;0,B37,C37)</f>
        <v>0</v>
      </c>
    </row>
    <row r="38" spans="1:10" x14ac:dyDescent="0.25">
      <c r="A38" s="23"/>
      <c r="B38" s="23"/>
      <c r="C38" s="23"/>
      <c r="D38" s="23"/>
      <c r="E38" s="23"/>
      <c r="F38" s="23"/>
      <c r="G38" s="23"/>
      <c r="H38" s="23"/>
      <c r="I38" s="23"/>
      <c r="J38" s="23"/>
    </row>
    <row r="39" spans="1:10" x14ac:dyDescent="0.25">
      <c r="A39" s="31" t="s">
        <v>31</v>
      </c>
      <c r="B39" s="31"/>
      <c r="C39" s="31"/>
      <c r="D39" s="31"/>
      <c r="G39" s="31" t="s">
        <v>32</v>
      </c>
      <c r="H39" s="31"/>
      <c r="I39" s="31"/>
      <c r="J39" s="31"/>
    </row>
    <row r="40" spans="1:10" x14ac:dyDescent="0.25">
      <c r="A40" s="14" t="s">
        <v>26</v>
      </c>
      <c r="B40" s="14" t="s">
        <v>10</v>
      </c>
      <c r="C40" s="14" t="s">
        <v>9</v>
      </c>
      <c r="D40" s="14" t="s">
        <v>39</v>
      </c>
      <c r="G40" s="14" t="s">
        <v>26</v>
      </c>
      <c r="H40" s="14" t="s">
        <v>10</v>
      </c>
      <c r="I40" s="14" t="s">
        <v>9</v>
      </c>
      <c r="J40" s="14" t="s">
        <v>39</v>
      </c>
    </row>
    <row r="41" spans="1:10" x14ac:dyDescent="0.25">
      <c r="A41" s="7" t="s">
        <v>33</v>
      </c>
      <c r="B41" s="10"/>
      <c r="C41" s="10">
        <f>D26</f>
        <v>1100000</v>
      </c>
      <c r="D41" s="10">
        <f>IF(B41&gt;0,B41,C41)</f>
        <v>1100000</v>
      </c>
      <c r="G41" s="41" t="s">
        <v>33</v>
      </c>
      <c r="H41" s="42"/>
      <c r="I41" s="42">
        <f>D26</f>
        <v>1100000</v>
      </c>
      <c r="J41" s="42">
        <f t="shared" ref="J41:J48" si="5">IF(H41&gt;0,H41,I41)</f>
        <v>1100000</v>
      </c>
    </row>
    <row r="42" spans="1:10" x14ac:dyDescent="0.25">
      <c r="A42" s="7" t="s">
        <v>30</v>
      </c>
      <c r="B42" s="10"/>
      <c r="C42" s="10" t="str">
        <f>D64</f>
        <v>No aplica</v>
      </c>
      <c r="D42" s="10" t="str">
        <f t="shared" ref="D42:D50" si="6">IF(B42&gt;0,B42,C42)</f>
        <v>No aplica</v>
      </c>
      <c r="G42" s="41" t="s">
        <v>30</v>
      </c>
      <c r="H42" s="42"/>
      <c r="I42" s="42" t="str">
        <f>D64</f>
        <v>No aplica</v>
      </c>
      <c r="J42" s="42" t="str">
        <f t="shared" si="5"/>
        <v>No aplica</v>
      </c>
    </row>
    <row r="43" spans="1:10" x14ac:dyDescent="0.25">
      <c r="A43" s="7" t="s">
        <v>34</v>
      </c>
      <c r="B43" s="10"/>
      <c r="C43" s="10">
        <f>J56</f>
        <v>0</v>
      </c>
      <c r="D43" s="10">
        <f t="shared" si="6"/>
        <v>0</v>
      </c>
      <c r="G43" s="41" t="s">
        <v>93</v>
      </c>
      <c r="H43" s="42"/>
      <c r="I43" s="42" t="str">
        <f>IFERROR(J41-J42,"No aplica")</f>
        <v>No aplica</v>
      </c>
      <c r="J43" s="42" t="str">
        <f t="shared" si="5"/>
        <v>No aplica</v>
      </c>
    </row>
    <row r="44" spans="1:10" x14ac:dyDescent="0.25">
      <c r="A44" s="7" t="s">
        <v>35</v>
      </c>
      <c r="B44" s="10"/>
      <c r="C44" s="10" t="str">
        <f>IFERROR(D41-D42-D43,"No aplica")</f>
        <v>No aplica</v>
      </c>
      <c r="D44" s="10" t="str">
        <f t="shared" si="6"/>
        <v>No aplica</v>
      </c>
      <c r="G44" s="41" t="s">
        <v>36</v>
      </c>
      <c r="H44" s="42"/>
      <c r="I44" s="42">
        <f>IFERROR(J65-J61,"No aplica")</f>
        <v>0</v>
      </c>
      <c r="J44" s="42">
        <f t="shared" si="5"/>
        <v>0</v>
      </c>
    </row>
    <row r="45" spans="1:10" x14ac:dyDescent="0.25">
      <c r="A45" s="7" t="s">
        <v>89</v>
      </c>
      <c r="B45" s="10"/>
      <c r="C45" s="10" t="str">
        <f>IFERROR(B25-J57-J60,"No aplica")</f>
        <v>No aplica</v>
      </c>
      <c r="D45" s="10" t="str">
        <f t="shared" si="6"/>
        <v>No aplica</v>
      </c>
      <c r="G45" s="41" t="s">
        <v>37</v>
      </c>
      <c r="H45" s="42"/>
      <c r="I45" s="42">
        <f>IFERROR(J64-J59,"No aplica")</f>
        <v>0</v>
      </c>
      <c r="J45" s="42">
        <f t="shared" si="5"/>
        <v>0</v>
      </c>
    </row>
    <row r="46" spans="1:10" x14ac:dyDescent="0.25">
      <c r="A46" s="7" t="s">
        <v>36</v>
      </c>
      <c r="B46" s="10"/>
      <c r="C46" s="10">
        <f>J65</f>
        <v>0</v>
      </c>
      <c r="D46" s="10">
        <f t="shared" si="6"/>
        <v>0</v>
      </c>
      <c r="G46" s="41" t="s">
        <v>38</v>
      </c>
      <c r="H46" s="42"/>
      <c r="I46" s="42" t="str">
        <f>IFERROR(J43-J44-J45,"No aplica")</f>
        <v>No aplica</v>
      </c>
      <c r="J46" s="42" t="str">
        <f t="shared" si="5"/>
        <v>No aplica</v>
      </c>
    </row>
    <row r="47" spans="1:10" x14ac:dyDescent="0.25">
      <c r="A47" s="7" t="s">
        <v>37</v>
      </c>
      <c r="B47" s="10"/>
      <c r="C47" s="10">
        <f>IFERROR(J64-D43-J59,"No aplica")</f>
        <v>0</v>
      </c>
      <c r="D47" s="10">
        <f t="shared" si="6"/>
        <v>0</v>
      </c>
      <c r="G47" s="41" t="s">
        <v>40</v>
      </c>
      <c r="H47" s="42"/>
      <c r="I47" s="42">
        <f>J22</f>
        <v>0</v>
      </c>
      <c r="J47" s="42">
        <f t="shared" si="5"/>
        <v>0</v>
      </c>
    </row>
    <row r="48" spans="1:10" x14ac:dyDescent="0.25">
      <c r="A48" s="7" t="s">
        <v>38</v>
      </c>
      <c r="B48" s="10"/>
      <c r="C48" s="10" t="str">
        <f>IFERROR(D44-D46-D47,"No aplica")</f>
        <v>No aplica</v>
      </c>
      <c r="D48" s="10" t="str">
        <f t="shared" si="6"/>
        <v>No aplica</v>
      </c>
      <c r="G48" s="41" t="s">
        <v>42</v>
      </c>
      <c r="H48" s="42"/>
      <c r="I48" s="42" t="str">
        <f>IFERROR(J46-J47,"No aplica")</f>
        <v>No aplica</v>
      </c>
      <c r="J48" s="42" t="str">
        <f t="shared" si="5"/>
        <v>No aplica</v>
      </c>
    </row>
    <row r="49" spans="1:10" x14ac:dyDescent="0.25">
      <c r="A49" s="7" t="s">
        <v>40</v>
      </c>
      <c r="B49" s="10"/>
      <c r="C49" s="10">
        <f>J22</f>
        <v>0</v>
      </c>
      <c r="D49" s="10">
        <f t="shared" si="6"/>
        <v>0</v>
      </c>
      <c r="G49" s="41" t="s">
        <v>43</v>
      </c>
      <c r="H49" s="43"/>
      <c r="I49" s="43" t="s">
        <v>104</v>
      </c>
      <c r="J49" s="43">
        <f>B3</f>
        <v>0.35</v>
      </c>
    </row>
    <row r="50" spans="1:10" x14ac:dyDescent="0.25">
      <c r="A50" s="7" t="s">
        <v>42</v>
      </c>
      <c r="B50" s="10">
        <f>B52/(1-D51)</f>
        <v>76923.076923076922</v>
      </c>
      <c r="C50" s="10" t="str">
        <f>IFERROR(D48-D49,"No aplica")</f>
        <v>No aplica</v>
      </c>
      <c r="D50" s="10">
        <f t="shared" si="6"/>
        <v>76923.076923076922</v>
      </c>
      <c r="G50" s="41" t="s">
        <v>71</v>
      </c>
      <c r="H50" s="42"/>
      <c r="I50" s="42" t="str">
        <f>IFERROR(J48-(J48*H49),"No aplica")</f>
        <v>No aplica</v>
      </c>
      <c r="J50" s="42" t="str">
        <f>IF(H50&gt;0,H50,I50)</f>
        <v>No aplica</v>
      </c>
    </row>
    <row r="51" spans="1:10" x14ac:dyDescent="0.25">
      <c r="A51" s="7" t="s">
        <v>43</v>
      </c>
      <c r="B51" s="21" t="s">
        <v>104</v>
      </c>
      <c r="C51" s="21" t="s">
        <v>104</v>
      </c>
      <c r="D51" s="21">
        <f>B3</f>
        <v>0.35</v>
      </c>
      <c r="G51" s="7" t="s">
        <v>48</v>
      </c>
      <c r="H51" s="10"/>
      <c r="I51" s="10" t="str">
        <f>IFERROR(IF(B2="FIFO",IF(D29&gt;D23,(D29-D23)*D60,(D30-(D23-D29))*D62),IF(B2="LIFO",IF(D30&gt;D23,(D30-D23)*D62,(D29-(D23-D30))*D60))),"No aplica")</f>
        <v>No aplica</v>
      </c>
      <c r="J51" s="10" t="str">
        <f>IF(H51&gt;0,H51,I51)</f>
        <v>No aplica</v>
      </c>
    </row>
    <row r="52" spans="1:10" x14ac:dyDescent="0.25">
      <c r="A52" s="7" t="s">
        <v>71</v>
      </c>
      <c r="B52" s="10">
        <v>50000</v>
      </c>
      <c r="C52" s="46">
        <f>IFERROR(D50-(D50*D51),"No aplica")</f>
        <v>50000</v>
      </c>
      <c r="D52" s="10">
        <f>IF(B52&gt;0,B52,C52)</f>
        <v>50000</v>
      </c>
    </row>
    <row r="53" spans="1:10" x14ac:dyDescent="0.25">
      <c r="A53" s="7" t="s">
        <v>48</v>
      </c>
      <c r="B53" s="10"/>
      <c r="C53" s="10" t="str">
        <f>IFERROR(IF(B2="FIFO",IF(D29&gt;D26,(D29-D26)*D60,(D30-(D26-D29))*D62),IF(B2="LIFO",IF(D30&gt;D26,(D30-D26)*D62,(D29-(D26-D30))*D60))),"No aplica")</f>
        <v>No aplica</v>
      </c>
      <c r="D53" s="10" t="str">
        <f>IF(B53&gt;0,B53,C53)</f>
        <v>No aplica</v>
      </c>
    </row>
    <row r="55" spans="1:10" x14ac:dyDescent="0.25">
      <c r="A55" s="14" t="s">
        <v>11</v>
      </c>
      <c r="B55" s="14" t="s">
        <v>10</v>
      </c>
      <c r="C55" s="14" t="s">
        <v>9</v>
      </c>
      <c r="D55" s="14" t="s">
        <v>39</v>
      </c>
      <c r="G55" s="14" t="s">
        <v>12</v>
      </c>
      <c r="H55" s="14" t="s">
        <v>10</v>
      </c>
      <c r="I55" s="14" t="s">
        <v>9</v>
      </c>
      <c r="J55" s="14" t="s">
        <v>39</v>
      </c>
    </row>
    <row r="56" spans="1:10" x14ac:dyDescent="0.25">
      <c r="A56" s="4" t="s">
        <v>88</v>
      </c>
      <c r="B56" s="15"/>
      <c r="C56" s="15">
        <v>0</v>
      </c>
      <c r="D56" s="15">
        <f t="shared" ref="D56:D64" si="7">IF(B56&gt;0,B56,C56)</f>
        <v>0</v>
      </c>
      <c r="G56" s="6" t="s">
        <v>14</v>
      </c>
      <c r="H56" s="15"/>
      <c r="I56" s="15">
        <v>0</v>
      </c>
      <c r="J56" s="15">
        <f t="shared" ref="J56:J65" si="8">IF(H56&gt;0,H56,I56)</f>
        <v>0</v>
      </c>
    </row>
    <row r="57" spans="1:10" x14ac:dyDescent="0.25">
      <c r="A57" s="4" t="s">
        <v>87</v>
      </c>
      <c r="B57" s="15"/>
      <c r="C57" s="15">
        <v>0</v>
      </c>
      <c r="D57" s="15">
        <f t="shared" si="7"/>
        <v>0</v>
      </c>
      <c r="G57" s="6" t="s">
        <v>91</v>
      </c>
      <c r="H57" s="15"/>
      <c r="I57" s="20" t="str">
        <f>IFERROR(J56/D25,"No aplica")</f>
        <v>No aplica</v>
      </c>
      <c r="J57" s="15" t="str">
        <f t="shared" si="8"/>
        <v>No aplica</v>
      </c>
    </row>
    <row r="58" spans="1:10" x14ac:dyDescent="0.25">
      <c r="A58" s="8" t="s">
        <v>84</v>
      </c>
      <c r="B58" s="10"/>
      <c r="C58" s="10">
        <f>IFERROR(IF(B2="FIFO",IF(D34&gt;D37,D37*D56,(D56*D34)+((D37-D34)*D57)),IF(B2="LIFO",IF(D35&gt;D37,D37*D57,(D57*D35)+((D37-D35)*D56)))),"No aplica")</f>
        <v>0</v>
      </c>
      <c r="D58" s="10">
        <f t="shared" si="7"/>
        <v>0</v>
      </c>
      <c r="G58" s="3" t="s">
        <v>15</v>
      </c>
      <c r="H58" s="15"/>
      <c r="I58" s="15">
        <v>0</v>
      </c>
      <c r="J58" s="15">
        <f t="shared" si="8"/>
        <v>0</v>
      </c>
    </row>
    <row r="59" spans="1:10" x14ac:dyDescent="0.25">
      <c r="A59" s="8" t="s">
        <v>85</v>
      </c>
      <c r="B59" s="10"/>
      <c r="C59" s="10">
        <v>0</v>
      </c>
      <c r="D59" s="10">
        <f t="shared" si="7"/>
        <v>0</v>
      </c>
      <c r="G59" s="4" t="s">
        <v>17</v>
      </c>
      <c r="H59" s="15"/>
      <c r="I59" s="20">
        <f>IFERROR(J60*D29,"No aplica")</f>
        <v>0</v>
      </c>
      <c r="J59" s="15">
        <f t="shared" si="8"/>
        <v>0</v>
      </c>
    </row>
    <row r="60" spans="1:10" x14ac:dyDescent="0.25">
      <c r="A60" s="8" t="s">
        <v>46</v>
      </c>
      <c r="B60" s="10"/>
      <c r="C60" s="10">
        <v>0</v>
      </c>
      <c r="D60" s="10">
        <f t="shared" si="7"/>
        <v>0</v>
      </c>
      <c r="G60" s="4" t="s">
        <v>90</v>
      </c>
      <c r="H60" s="15"/>
      <c r="I60" s="15">
        <v>0</v>
      </c>
      <c r="J60" s="15">
        <f t="shared" si="8"/>
        <v>0</v>
      </c>
    </row>
    <row r="61" spans="1:10" x14ac:dyDescent="0.25">
      <c r="A61" s="8" t="s">
        <v>47</v>
      </c>
      <c r="B61" s="10"/>
      <c r="C61" s="24">
        <f>IFERROR(D60*D29,"No aplica")</f>
        <v>0</v>
      </c>
      <c r="D61" s="10">
        <f t="shared" si="7"/>
        <v>0</v>
      </c>
      <c r="G61" s="3" t="s">
        <v>16</v>
      </c>
      <c r="H61" s="15"/>
      <c r="I61" s="15">
        <v>0</v>
      </c>
      <c r="J61" s="15">
        <f t="shared" si="8"/>
        <v>0</v>
      </c>
    </row>
    <row r="62" spans="1:10" x14ac:dyDescent="0.25">
      <c r="A62" s="7" t="s">
        <v>45</v>
      </c>
      <c r="B62" s="10"/>
      <c r="C62" s="10" t="str">
        <f>IFERROR(IF(B1="DIRECTO",(D58+D59+J59)/D29,IF(B1="ABSORCIÓN",(D58+D59+J59+J61)/D29)),"No aplica")</f>
        <v>No aplica</v>
      </c>
      <c r="D62" s="10" t="str">
        <f t="shared" si="7"/>
        <v>No aplica</v>
      </c>
      <c r="G62" s="3" t="s">
        <v>18</v>
      </c>
      <c r="H62" s="15"/>
      <c r="I62" s="15">
        <v>0</v>
      </c>
      <c r="J62" s="15">
        <f t="shared" si="8"/>
        <v>0</v>
      </c>
    </row>
    <row r="63" spans="1:10" x14ac:dyDescent="0.25">
      <c r="A63" s="8" t="s">
        <v>13</v>
      </c>
      <c r="B63" s="10"/>
      <c r="C63" s="10">
        <v>0</v>
      </c>
      <c r="D63" s="10">
        <f t="shared" si="7"/>
        <v>0</v>
      </c>
      <c r="G63" s="3" t="s">
        <v>19</v>
      </c>
      <c r="H63" s="15"/>
      <c r="I63" s="15">
        <v>0</v>
      </c>
      <c r="J63" s="15">
        <f t="shared" si="8"/>
        <v>0</v>
      </c>
    </row>
    <row r="64" spans="1:10" x14ac:dyDescent="0.25">
      <c r="A64" s="8" t="s">
        <v>30</v>
      </c>
      <c r="B64" s="10"/>
      <c r="C64" s="10" t="str">
        <f>IFERROR(IF(B2="FIFO",IF(D29&gt;D25,D25*D60,D61+((D25-D29)*D62)),IF(B2="LIFO",IF(D29&gt;D25,D25*D62,D63+((D25-D29)*D60)))),"No aplica")</f>
        <v>No aplica</v>
      </c>
      <c r="D64" s="10" t="str">
        <f t="shared" si="7"/>
        <v>No aplica</v>
      </c>
      <c r="G64" s="16" t="s">
        <v>37</v>
      </c>
      <c r="H64" s="17"/>
      <c r="I64" s="17">
        <f>IFERROR(J56+J59+J62,"No aplica")</f>
        <v>0</v>
      </c>
      <c r="J64" s="17">
        <f t="shared" si="8"/>
        <v>0</v>
      </c>
    </row>
    <row r="65" spans="1:10" x14ac:dyDescent="0.25">
      <c r="G65" s="16" t="s">
        <v>36</v>
      </c>
      <c r="H65" s="17"/>
      <c r="I65" s="17">
        <f>IFERROR(J58+J61+J63,"No aplica")</f>
        <v>0</v>
      </c>
      <c r="J65" s="17">
        <f t="shared" si="8"/>
        <v>0</v>
      </c>
    </row>
    <row r="66" spans="1:10" x14ac:dyDescent="0.25">
      <c r="A66" s="23"/>
      <c r="B66" s="23"/>
      <c r="C66" s="23"/>
      <c r="D66" s="23"/>
      <c r="E66" s="23"/>
      <c r="F66" s="23"/>
      <c r="G66" s="23"/>
      <c r="H66" s="23"/>
      <c r="I66" s="23"/>
      <c r="J66" s="23"/>
    </row>
    <row r="67" spans="1:10" x14ac:dyDescent="0.25">
      <c r="A67" s="14" t="s">
        <v>27</v>
      </c>
      <c r="B67" s="14" t="s">
        <v>10</v>
      </c>
      <c r="C67" s="14" t="s">
        <v>9</v>
      </c>
      <c r="D67" s="14" t="s">
        <v>39</v>
      </c>
      <c r="E67" s="14" t="s">
        <v>108</v>
      </c>
    </row>
    <row r="68" spans="1:10" x14ac:dyDescent="0.25">
      <c r="A68" s="8" t="s">
        <v>54</v>
      </c>
      <c r="B68" s="26"/>
      <c r="C68" s="26">
        <f>IFERROR(J29/(J29+J35),"No aplica")</f>
        <v>0.16446124763705103</v>
      </c>
      <c r="D68" s="26">
        <f>IF(B68&gt;0,B68,C68)</f>
        <v>0.16446124763705103</v>
      </c>
      <c r="E68" s="26" t="s">
        <v>104</v>
      </c>
    </row>
    <row r="69" spans="1:10" x14ac:dyDescent="0.25">
      <c r="A69" s="8" t="s">
        <v>103</v>
      </c>
      <c r="B69" s="21"/>
      <c r="C69" s="21">
        <f>IFERROR(D68*(E69*(1-B3)),"No aplica")</f>
        <v>1.0689981096408317E-2</v>
      </c>
      <c r="D69" s="21">
        <f>IF(B69&gt;0,B69,C69)</f>
        <v>1.0689981096408317E-2</v>
      </c>
      <c r="E69" s="21">
        <v>0.1</v>
      </c>
    </row>
    <row r="70" spans="1:10" x14ac:dyDescent="0.25">
      <c r="A70" s="8" t="s">
        <v>55</v>
      </c>
      <c r="B70" s="26"/>
      <c r="C70" s="26">
        <f>IFERROR(J35/(J29+J35),"No aplica")</f>
        <v>0.83553875236294894</v>
      </c>
      <c r="D70" s="26">
        <f>IF(B70&gt;0,B70,C70)</f>
        <v>0.83553875236294894</v>
      </c>
      <c r="E70" s="26" t="s">
        <v>104</v>
      </c>
    </row>
    <row r="71" spans="1:10" x14ac:dyDescent="0.25">
      <c r="A71" s="8" t="s">
        <v>102</v>
      </c>
      <c r="B71" s="26"/>
      <c r="C71" s="26">
        <f>D70*E71</f>
        <v>0.18381852551984876</v>
      </c>
      <c r="D71" s="26">
        <f>IF(B71&gt;0,B71,C71)</f>
        <v>0.18381852551984876</v>
      </c>
      <c r="E71" s="26">
        <v>0.22</v>
      </c>
    </row>
    <row r="72" spans="1:10" x14ac:dyDescent="0.25">
      <c r="A72" s="30" t="s">
        <v>56</v>
      </c>
      <c r="B72" s="29"/>
      <c r="C72" s="29">
        <f>IFERROR(D69+D71,"No aplica")</f>
        <v>0.19450850661625707</v>
      </c>
      <c r="D72" s="29">
        <f>IF(B72&gt;0,B72,C72)</f>
        <v>0.19450850661625707</v>
      </c>
      <c r="E72" s="29"/>
    </row>
  </sheetData>
  <mergeCells count="4">
    <mergeCell ref="A7:D7"/>
    <mergeCell ref="A16:D16"/>
    <mergeCell ref="A39:D39"/>
    <mergeCell ref="G39:J39"/>
  </mergeCells>
  <dataValidations count="2">
    <dataValidation type="list" allowBlank="1" showInputMessage="1" showErrorMessage="1" sqref="B2" xr:uid="{DF133798-4FA6-4822-A727-397CE8E5C48F}">
      <formula1>"FIFO,LIFO,PPP"</formula1>
    </dataValidation>
    <dataValidation type="list" allowBlank="1" showInputMessage="1" showErrorMessage="1" sqref="B1" xr:uid="{2459FAE9-48F6-44B0-8066-39CF6C012676}">
      <formula1>"DIRECTO,ABSORCIÓN"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83CEA-47DE-4908-917B-95EEAC86205A}">
  <dimension ref="A1:A3"/>
  <sheetViews>
    <sheetView tabSelected="1" workbookViewId="0">
      <selection activeCell="A4" sqref="A4"/>
    </sheetView>
  </sheetViews>
  <sheetFormatPr baseColWidth="10" defaultRowHeight="15" x14ac:dyDescent="0.25"/>
  <sheetData>
    <row r="1" spans="1:1" x14ac:dyDescent="0.25">
      <c r="A1" t="s">
        <v>148</v>
      </c>
    </row>
    <row r="2" spans="1:1" x14ac:dyDescent="0.25">
      <c r="A2" t="s">
        <v>149</v>
      </c>
    </row>
    <row r="3" spans="1:1" x14ac:dyDescent="0.25">
      <c r="A3" t="s">
        <v>150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Consigna</vt:lpstr>
      <vt:lpstr>2019</vt:lpstr>
      <vt:lpstr>2020</vt:lpstr>
      <vt:lpstr>Justificación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Agustin Ariel Tamborini Criscueli</dc:creator>
  <cp:lastModifiedBy>Agustin Ariel Tamborini Criscueli</cp:lastModifiedBy>
  <dcterms:created xsi:type="dcterms:W3CDTF">2015-06-05T18:19:34Z</dcterms:created>
  <dcterms:modified xsi:type="dcterms:W3CDTF">2021-08-06T05:25:33Z</dcterms:modified>
</cp:coreProperties>
</file>