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tambo\OneDrive\Documentos\UTN\3er Año\Economía\Práctica de Parcial\1er Parcial Garay\1er Recuperatorio\"/>
    </mc:Choice>
  </mc:AlternateContent>
  <xr:revisionPtr revIDLastSave="0" documentId="13_ncr:1_{DCE37F15-4CFF-43E3-A71C-98DEBB16E6D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nsigna" sheetId="6" r:id="rId1"/>
    <sheet name="Resolució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3" l="1"/>
  <c r="D55" i="3"/>
  <c r="D53" i="3"/>
  <c r="D50" i="3"/>
  <c r="E52" i="3"/>
  <c r="D52" i="3"/>
  <c r="D51" i="3"/>
  <c r="B53" i="3"/>
  <c r="E51" i="3"/>
  <c r="D49" i="3"/>
  <c r="D48" i="3"/>
  <c r="D47" i="3"/>
  <c r="B47" i="3"/>
  <c r="B48" i="3"/>
  <c r="B49" i="3"/>
  <c r="C55" i="3"/>
  <c r="C53" i="3"/>
  <c r="C51" i="3"/>
  <c r="B50" i="3" l="1"/>
  <c r="C57" i="3"/>
  <c r="I13" i="3"/>
  <c r="I31" i="3"/>
  <c r="D18" i="3"/>
  <c r="B43" i="3" s="1"/>
  <c r="I19" i="3"/>
  <c r="H5" i="3" s="1"/>
  <c r="I20" i="3"/>
  <c r="I23" i="3"/>
  <c r="I24" i="3"/>
  <c r="I25" i="3"/>
  <c r="B55" i="3" l="1"/>
  <c r="H27" i="3"/>
  <c r="B35" i="3" s="1"/>
  <c r="D10" i="3"/>
  <c r="D11" i="3"/>
  <c r="D16" i="3"/>
  <c r="D15" i="3"/>
  <c r="C42" i="3" s="1"/>
  <c r="D14" i="3"/>
  <c r="D8" i="3"/>
  <c r="D7" i="3"/>
  <c r="D6" i="3"/>
  <c r="E49" i="3" l="1"/>
  <c r="E48" i="3"/>
  <c r="B42" i="3"/>
  <c r="I27" i="3"/>
  <c r="H8" i="3" s="1"/>
  <c r="C24" i="3"/>
  <c r="D24" i="3" s="1"/>
  <c r="D42" i="3" s="1"/>
  <c r="C9" i="3"/>
  <c r="D9" i="3" s="1"/>
  <c r="H30" i="3" s="1"/>
  <c r="C19" i="3"/>
  <c r="D19" i="3" s="1"/>
  <c r="E42" i="3" l="1"/>
  <c r="E44" i="3" s="1"/>
  <c r="I30" i="3"/>
  <c r="H18" i="3"/>
  <c r="I18" i="3" s="1"/>
  <c r="I11" i="3"/>
  <c r="I5" i="3" l="1"/>
  <c r="I8" i="3" l="1"/>
  <c r="I22" i="3" l="1"/>
  <c r="H26" i="3" l="1"/>
  <c r="I26" i="3" s="1"/>
  <c r="H9" i="3" l="1"/>
  <c r="I9" i="3" s="1"/>
  <c r="D17" i="3"/>
  <c r="C20" i="3" s="1"/>
  <c r="D20" i="3" l="1"/>
  <c r="H32" i="3" s="1"/>
  <c r="H21" i="3" l="1"/>
  <c r="I21" i="3" s="1"/>
  <c r="H15" i="3"/>
  <c r="I15" i="3" s="1"/>
  <c r="C21" i="3"/>
  <c r="D21" i="3" s="1"/>
  <c r="I32" i="3" l="1"/>
  <c r="B37" i="3" l="1"/>
  <c r="B44" i="3"/>
  <c r="H4" i="3"/>
  <c r="D25" i="3"/>
  <c r="B39" i="3" l="1"/>
  <c r="C31" i="3" s="1"/>
  <c r="D31" i="3" s="1"/>
  <c r="H7" i="3"/>
  <c r="I7" i="3" s="1"/>
  <c r="C29" i="3" s="1"/>
  <c r="D29" i="3" s="1"/>
  <c r="C26" i="3"/>
  <c r="D26" i="3" s="1"/>
  <c r="C30" i="3" l="1"/>
  <c r="D30" i="3" s="1"/>
  <c r="C32" i="3"/>
  <c r="D32" i="3" s="1"/>
  <c r="I6" i="3"/>
  <c r="H3" i="3"/>
  <c r="I3" i="3" s="1"/>
  <c r="H10" i="3"/>
  <c r="I10" i="3" s="1"/>
  <c r="H12" i="3" s="1"/>
  <c r="I12" i="3" s="1"/>
  <c r="H14" i="3" s="1"/>
  <c r="I14" i="3" s="1"/>
  <c r="G4" i="3" l="1"/>
  <c r="I4" i="3" s="1"/>
  <c r="H6" i="3" l="1"/>
  <c r="D44" i="3"/>
  <c r="C44" i="3" l="1"/>
  <c r="C43" i="3" s="1"/>
  <c r="D43" i="3"/>
  <c r="E47" i="3" l="1"/>
  <c r="E50" i="3" s="1"/>
  <c r="E53" i="3" s="1"/>
  <c r="E55" i="3" s="1"/>
</calcChain>
</file>

<file path=xl/sharedStrings.xml><?xml version="1.0" encoding="utf-8"?>
<sst xmlns="http://schemas.openxmlformats.org/spreadsheetml/2006/main" count="118" uniqueCount="88">
  <si>
    <t>Tasa de impuesto a las ganancias</t>
  </si>
  <si>
    <t>Cálculo</t>
  </si>
  <si>
    <t>Valor directo</t>
  </si>
  <si>
    <t>Tipo de costo</t>
  </si>
  <si>
    <t>Gastos de comercialización variables</t>
  </si>
  <si>
    <t>Gastos de comercialización fijos</t>
  </si>
  <si>
    <t>Gastos de fabricación fijos</t>
  </si>
  <si>
    <t>Gastos de fabricación variables</t>
  </si>
  <si>
    <t>Gastos administrativos y financieros variables</t>
  </si>
  <si>
    <t>Gastos administrativos y financieros fijos</t>
  </si>
  <si>
    <t>Cantidad producida</t>
  </si>
  <si>
    <t>Cantidad vendida</t>
  </si>
  <si>
    <t>Fórmula</t>
  </si>
  <si>
    <t>Costo de ventas</t>
  </si>
  <si>
    <t>Sistema Directo</t>
  </si>
  <si>
    <t>Ingresos por ventas</t>
  </si>
  <si>
    <t>Gasto de comercialización variables</t>
  </si>
  <si>
    <t>Contribución marginal</t>
  </si>
  <si>
    <t>Gastos fijos</t>
  </si>
  <si>
    <t>Gastos variables</t>
  </si>
  <si>
    <t>UN antes de intereses e impuestos</t>
  </si>
  <si>
    <t>Resultado</t>
  </si>
  <si>
    <t>Intereses</t>
  </si>
  <si>
    <t>UN antes de impuestos</t>
  </si>
  <si>
    <t>Impuesto a las ganancias</t>
  </si>
  <si>
    <t>Costo unitario de producción de inventario inicial</t>
  </si>
  <si>
    <t>Costo total de producción de inventario inicial</t>
  </si>
  <si>
    <t>Valor de inventario</t>
  </si>
  <si>
    <t>Sistema de valuación de stock</t>
  </si>
  <si>
    <t>Precio unitario de venta</t>
  </si>
  <si>
    <t>UN (Utilidad Neta) o Resultado Neto</t>
  </si>
  <si>
    <t>Valor Directo</t>
  </si>
  <si>
    <t>Materia prima inicial</t>
  </si>
  <si>
    <t>Materia prima adquirida</t>
  </si>
  <si>
    <t>Materia prima final</t>
  </si>
  <si>
    <t>Materia prima consumida</t>
  </si>
  <si>
    <t>Producto inicial</t>
  </si>
  <si>
    <t>Producto adquirido</t>
  </si>
  <si>
    <t>Producto final</t>
  </si>
  <si>
    <t>Costo de Materia Prima</t>
  </si>
  <si>
    <t>Costo de Mano de Obra Directa</t>
  </si>
  <si>
    <t>Contribución marginal unitaria</t>
  </si>
  <si>
    <t>Gastos de fabricación variables unitarios</t>
  </si>
  <si>
    <t>Gastos de comercialización variables unitarios</t>
  </si>
  <si>
    <t>Puntos</t>
  </si>
  <si>
    <t>Equilibrio económico (unidades)</t>
  </si>
  <si>
    <t>Equilibrio financiero (unidades)</t>
  </si>
  <si>
    <t>Equilibrio económico ($)</t>
  </si>
  <si>
    <t>Equilibrio financiero ($)</t>
  </si>
  <si>
    <t>Costo materia prima inicial</t>
  </si>
  <si>
    <t>Costo materia prima final</t>
  </si>
  <si>
    <t>Información de materia prima</t>
  </si>
  <si>
    <t>Información de producto</t>
  </si>
  <si>
    <t>Información de venta</t>
  </si>
  <si>
    <t>Ingresos por Ventas</t>
  </si>
  <si>
    <t>Información de gastos</t>
  </si>
  <si>
    <t>No aplica</t>
  </si>
  <si>
    <t>Costo unitario de fabricación</t>
  </si>
  <si>
    <t>Costo total de fabricación</t>
  </si>
  <si>
    <t>FIFO</t>
  </si>
  <si>
    <t>Gastos Fijos Erogables</t>
  </si>
  <si>
    <t>Contribucion marginal unitaria financiera</t>
  </si>
  <si>
    <t>Costo variable erogable</t>
  </si>
  <si>
    <t>Gastos Fijos No Erogables</t>
  </si>
  <si>
    <t>Costo variable No erogable</t>
  </si>
  <si>
    <t>Orden del sistema</t>
  </si>
  <si>
    <t>NORMAL</t>
  </si>
  <si>
    <t>Una empresa que fabrica un único producto, presenta la siguiente información: Ventas 500.000 unidades, Producción Terminada en el ejercicio 480.000 unidades, Inventario inicial de producción terminada 60.000 unidades (Cvu = $/u 24.00), precio unitario $/u 36.00, gastos variables de comercialización $1.000.000, gastos fijos totales $3.675.000, contribución marginal de la empresa $6.000.000. Si la empresa lleva sistema de costeo directo, con criterio P.P.P. para valorizar los inventarios. Se pide:</t>
  </si>
  <si>
    <r>
      <t xml:space="preserve">Indique cuanto ha sido el valor del costo de ventas del período considerado. </t>
    </r>
    <r>
      <rPr>
        <b/>
        <sz val="10"/>
        <color rgb="FF000000"/>
        <rFont val="Arial"/>
        <family val="2"/>
      </rPr>
      <t>5 puntos</t>
    </r>
  </si>
  <si>
    <r>
      <t xml:space="preserve">Indique cuanto ha sido el valor del costo variable unitario de fabricación en el período considerado. </t>
    </r>
    <r>
      <rPr>
        <b/>
        <sz val="10"/>
        <color rgb="FF000000"/>
        <rFont val="Arial"/>
        <family val="2"/>
      </rPr>
      <t>5 puntos</t>
    </r>
  </si>
  <si>
    <r>
      <t>Determine cuanto tiene que producir y vender la empresa para obtener utilidades antes de impuesto a las ganancias igual al 6% de las ventas.</t>
    </r>
    <r>
      <rPr>
        <b/>
        <sz val="10"/>
        <color rgb="FF000000"/>
        <rFont val="Arial"/>
        <family val="2"/>
      </rPr>
      <t>15 puntos</t>
    </r>
  </si>
  <si>
    <t>Erogaciones</t>
  </si>
  <si>
    <t>Cantidad</t>
  </si>
  <si>
    <t>Costo de ventas (producción inicial)</t>
  </si>
  <si>
    <t>Inventario Inicial</t>
  </si>
  <si>
    <t>Producción terminada</t>
  </si>
  <si>
    <t>Producción vendida</t>
  </si>
  <si>
    <t>Producción restante</t>
  </si>
  <si>
    <t>EJERCICIO 2</t>
  </si>
  <si>
    <t>EJERCICIO 3</t>
  </si>
  <si>
    <t>Utilidad neta antes de impuesto a las ganancias</t>
  </si>
  <si>
    <t>Ingresos de ventas</t>
  </si>
  <si>
    <t>Unidades producidas</t>
  </si>
  <si>
    <t>Porcentaje de ventas</t>
  </si>
  <si>
    <t>Valor total (inicial)</t>
  </si>
  <si>
    <t>Valor unitario (inicial)</t>
  </si>
  <si>
    <t>Valor unitario (final)</t>
  </si>
  <si>
    <t>Valor total (final)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</si>
</sst>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&quot;$&quot;\ #,##0.00"/>
    <numFmt numFmtId="166" formatCode="&quot;$&quot;\ #,##0"/>
    <numFmt numFmtId="167" formatCode="&quot;$&quot;#,##0.00"/>
    <numFmt numFmtId="172" formatCode="&quot;$&quot;\ #,##0.00;[Red]&quot;$&quot;\ #,##0.00"/>
    <numFmt numFmtId="175" formatCode="0.00;[Red]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/>
    <xf numFmtId="165" fontId="0" fillId="0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1" xfId="0" applyNumberFormat="1" applyFill="1" applyBorder="1" applyAlignment="1">
      <alignment horizontal="right"/>
    </xf>
    <xf numFmtId="0" fontId="0" fillId="0" borderId="0" xfId="0" applyFill="1" applyBorder="1"/>
    <xf numFmtId="165" fontId="0" fillId="0" borderId="0" xfId="0" applyNumberFormat="1" applyFill="1" applyBorder="1"/>
    <xf numFmtId="165" fontId="0" fillId="0" borderId="0" xfId="0" applyNumberFormat="1" applyFill="1" applyBorder="1" applyAlignment="1"/>
    <xf numFmtId="165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165" fontId="0" fillId="4" borderId="1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66" fontId="0" fillId="0" borderId="1" xfId="0" applyNumberFormat="1" applyFill="1" applyBorder="1" applyAlignment="1">
      <alignment horizontal="right"/>
    </xf>
    <xf numFmtId="9" fontId="0" fillId="0" borderId="1" xfId="0" applyNumberFormat="1" applyBorder="1" applyAlignment="1">
      <alignment horizontal="center"/>
    </xf>
    <xf numFmtId="167" fontId="0" fillId="0" borderId="0" xfId="0" applyNumberFormat="1"/>
    <xf numFmtId="165" fontId="0" fillId="0" borderId="0" xfId="0" applyNumberFormat="1"/>
    <xf numFmtId="164" fontId="0" fillId="0" borderId="1" xfId="1" applyFont="1" applyFill="1" applyBorder="1" applyAlignment="1">
      <alignment horizontal="right"/>
    </xf>
    <xf numFmtId="0" fontId="0" fillId="2" borderId="1" xfId="0" applyFill="1" applyBorder="1"/>
    <xf numFmtId="167" fontId="0" fillId="0" borderId="1" xfId="0" applyNumberFormat="1" applyBorder="1"/>
    <xf numFmtId="164" fontId="0" fillId="0" borderId="1" xfId="1" applyFont="1" applyBorder="1"/>
    <xf numFmtId="0" fontId="0" fillId="5" borderId="1" xfId="0" applyFill="1" applyBorder="1"/>
    <xf numFmtId="167" fontId="0" fillId="5" borderId="1" xfId="0" applyNumberFormat="1" applyFill="1" applyBorder="1"/>
    <xf numFmtId="0" fontId="0" fillId="6" borderId="1" xfId="0" applyFill="1" applyBorder="1" applyAlignment="1">
      <alignment horizontal="center"/>
    </xf>
    <xf numFmtId="165" fontId="0" fillId="0" borderId="1" xfId="0" applyNumberFormat="1" applyFont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2" fillId="7" borderId="1" xfId="0" applyFont="1" applyFill="1" applyBorder="1"/>
    <xf numFmtId="165" fontId="2" fillId="7" borderId="1" xfId="0" applyNumberFormat="1" applyFont="1" applyFill="1" applyBorder="1" applyAlignment="1">
      <alignment horizontal="right"/>
    </xf>
    <xf numFmtId="0" fontId="0" fillId="8" borderId="1" xfId="0" applyFill="1" applyBorder="1"/>
    <xf numFmtId="165" fontId="0" fillId="8" borderId="1" xfId="0" applyNumberFormat="1" applyFill="1" applyBorder="1" applyAlignment="1">
      <alignment horizontal="right"/>
    </xf>
    <xf numFmtId="172" fontId="0" fillId="0" borderId="1" xfId="0" applyNumberFormat="1" applyBorder="1"/>
    <xf numFmtId="172" fontId="0" fillId="0" borderId="1" xfId="0" applyNumberFormat="1" applyFill="1" applyBorder="1"/>
    <xf numFmtId="0" fontId="0" fillId="0" borderId="0" xfId="0" applyFill="1" applyBorder="1" applyAlignment="1">
      <alignment horizontal="center"/>
    </xf>
    <xf numFmtId="172" fontId="0" fillId="0" borderId="0" xfId="0" applyNumberFormat="1" applyFill="1" applyBorder="1"/>
    <xf numFmtId="0" fontId="2" fillId="3" borderId="1" xfId="0" applyFont="1" applyFill="1" applyBorder="1" applyAlignment="1">
      <alignment horizontal="center"/>
    </xf>
    <xf numFmtId="1" fontId="0" fillId="0" borderId="1" xfId="0" applyNumberFormat="1" applyFill="1" applyBorder="1"/>
    <xf numFmtId="1" fontId="0" fillId="0" borderId="1" xfId="0" applyNumberFormat="1" applyBorder="1"/>
    <xf numFmtId="1" fontId="2" fillId="7" borderId="1" xfId="0" applyNumberFormat="1" applyFont="1" applyFill="1" applyBorder="1"/>
    <xf numFmtId="172" fontId="2" fillId="7" borderId="1" xfId="0" applyNumberFormat="1" applyFont="1" applyFill="1" applyBorder="1"/>
    <xf numFmtId="172" fontId="0" fillId="0" borderId="1" xfId="0" applyNumberFormat="1" applyFont="1" applyFill="1" applyBorder="1"/>
    <xf numFmtId="172" fontId="0" fillId="0" borderId="0" xfId="0" applyNumberFormat="1" applyFont="1" applyFill="1" applyBorder="1"/>
    <xf numFmtId="10" fontId="0" fillId="0" borderId="1" xfId="0" applyNumberFormat="1" applyFont="1" applyFill="1" applyBorder="1"/>
    <xf numFmtId="1" fontId="0" fillId="2" borderId="1" xfId="0" applyNumberFormat="1" applyFont="1" applyFill="1" applyBorder="1" applyAlignment="1">
      <alignment horizontal="center"/>
    </xf>
    <xf numFmtId="0" fontId="0" fillId="4" borderId="1" xfId="0" applyFill="1" applyBorder="1"/>
    <xf numFmtId="172" fontId="0" fillId="4" borderId="1" xfId="0" applyNumberFormat="1" applyFill="1" applyBorder="1"/>
    <xf numFmtId="172" fontId="0" fillId="2" borderId="1" xfId="0" applyNumberFormat="1" applyFont="1" applyFill="1" applyBorder="1" applyAlignment="1">
      <alignment horizontal="center"/>
    </xf>
    <xf numFmtId="10" fontId="2" fillId="0" borderId="0" xfId="0" applyNumberFormat="1" applyFont="1" applyFill="1" applyBorder="1"/>
    <xf numFmtId="175" fontId="2" fillId="7" borderId="1" xfId="0" applyNumberFormat="1" applyFont="1" applyFill="1" applyBorder="1" applyAlignment="1">
      <alignment horizontal="center"/>
    </xf>
    <xf numFmtId="10" fontId="0" fillId="0" borderId="1" xfId="0" applyNumberFormat="1" applyFill="1" applyBorder="1"/>
    <xf numFmtId="172" fontId="0" fillId="4" borderId="1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4D55-CCB9-4C6E-98FF-F799DC585895}">
  <dimension ref="A1:H4"/>
  <sheetViews>
    <sheetView workbookViewId="0">
      <selection activeCell="C44" sqref="C44"/>
    </sheetView>
  </sheetViews>
  <sheetFormatPr baseColWidth="10" defaultRowHeight="15" x14ac:dyDescent="0.25"/>
  <cols>
    <col min="1" max="1" width="145" customWidth="1"/>
  </cols>
  <sheetData>
    <row r="1" spans="1:8" ht="51" x14ac:dyDescent="0.25">
      <c r="A1" s="33" t="s">
        <v>67</v>
      </c>
    </row>
    <row r="2" spans="1:8" s="32" customFormat="1" x14ac:dyDescent="0.25">
      <c r="A2" s="34" t="s">
        <v>68</v>
      </c>
      <c r="B2" s="31"/>
      <c r="C2" s="31"/>
      <c r="D2" s="31"/>
      <c r="E2" s="31"/>
      <c r="F2" s="31"/>
      <c r="G2" s="31"/>
      <c r="H2" s="31"/>
    </row>
    <row r="3" spans="1:8" s="32" customFormat="1" x14ac:dyDescent="0.25">
      <c r="A3" s="34" t="s">
        <v>69</v>
      </c>
      <c r="B3" s="31"/>
      <c r="C3" s="31"/>
      <c r="D3" s="31"/>
      <c r="E3" s="31"/>
      <c r="F3" s="31"/>
      <c r="G3" s="31"/>
      <c r="H3" s="31"/>
    </row>
    <row r="4" spans="1:8" s="32" customFormat="1" x14ac:dyDescent="0.25">
      <c r="A4" s="34" t="s">
        <v>70</v>
      </c>
      <c r="B4" s="31"/>
      <c r="C4" s="31"/>
      <c r="D4" s="31"/>
      <c r="E4" s="31"/>
      <c r="F4" s="31"/>
      <c r="G4" s="31"/>
      <c r="H4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8"/>
  <sheetViews>
    <sheetView tabSelected="1" topLeftCell="A43" zoomScaleNormal="100" workbookViewId="0">
      <selection activeCell="C57" sqref="C57"/>
    </sheetView>
  </sheetViews>
  <sheetFormatPr baseColWidth="10" defaultRowHeight="15" x14ac:dyDescent="0.25"/>
  <cols>
    <col min="1" max="1" width="45.140625" customWidth="1"/>
    <col min="2" max="2" width="20.28515625" customWidth="1"/>
    <col min="3" max="3" width="20.85546875" customWidth="1"/>
    <col min="4" max="4" width="19.42578125" customWidth="1"/>
    <col min="5" max="5" width="18.5703125" customWidth="1"/>
    <col min="6" max="6" width="41.42578125" customWidth="1"/>
    <col min="7" max="7" width="15.140625" bestFit="1" customWidth="1"/>
    <col min="8" max="8" width="20.28515625" bestFit="1" customWidth="1"/>
    <col min="9" max="9" width="14.5703125" customWidth="1"/>
    <col min="10" max="10" width="13.7109375" bestFit="1" customWidth="1"/>
    <col min="11" max="11" width="11.85546875" bestFit="1" customWidth="1"/>
  </cols>
  <sheetData>
    <row r="1" spans="1:12" x14ac:dyDescent="0.25">
      <c r="A1" s="4" t="s">
        <v>28</v>
      </c>
      <c r="B1" s="1" t="s">
        <v>59</v>
      </c>
      <c r="F1" s="30" t="s">
        <v>14</v>
      </c>
      <c r="G1" s="30"/>
      <c r="H1" s="30"/>
      <c r="I1" s="30"/>
    </row>
    <row r="2" spans="1:12" x14ac:dyDescent="0.25">
      <c r="A2" s="4" t="s">
        <v>0</v>
      </c>
      <c r="B2" s="19"/>
      <c r="F2" s="4" t="s">
        <v>12</v>
      </c>
      <c r="G2" s="4" t="s">
        <v>2</v>
      </c>
      <c r="H2" s="4" t="s">
        <v>1</v>
      </c>
      <c r="I2" s="4" t="s">
        <v>21</v>
      </c>
    </row>
    <row r="3" spans="1:12" x14ac:dyDescent="0.25">
      <c r="A3" s="4" t="s">
        <v>65</v>
      </c>
      <c r="B3" s="28" t="s">
        <v>66</v>
      </c>
      <c r="F3" s="6" t="s">
        <v>15</v>
      </c>
      <c r="G3" s="8"/>
      <c r="H3" s="8">
        <f>IF(NOT(EXACT(B3,"INVERSO")),D26,I6+I4+I5)</f>
        <v>18000000</v>
      </c>
      <c r="I3" s="8">
        <f>IF(G3&gt;0,G3,H3)</f>
        <v>18000000</v>
      </c>
    </row>
    <row r="4" spans="1:12" x14ac:dyDescent="0.25">
      <c r="F4" s="35" t="s">
        <v>13</v>
      </c>
      <c r="G4" s="36">
        <f>I3-I5-I6</f>
        <v>11000000</v>
      </c>
      <c r="H4" s="36">
        <f>I32</f>
        <v>1440000</v>
      </c>
      <c r="I4" s="36">
        <f>IF(G4&gt;0,G4,H4)</f>
        <v>11000000</v>
      </c>
      <c r="J4" s="20"/>
    </row>
    <row r="5" spans="1:12" x14ac:dyDescent="0.25">
      <c r="A5" s="4" t="s">
        <v>51</v>
      </c>
      <c r="B5" s="4" t="s">
        <v>31</v>
      </c>
      <c r="C5" s="4" t="s">
        <v>1</v>
      </c>
      <c r="D5" s="4" t="s">
        <v>21</v>
      </c>
      <c r="F5" s="6" t="s">
        <v>16</v>
      </c>
      <c r="G5" s="8"/>
      <c r="H5" s="8">
        <f>I19</f>
        <v>1000000</v>
      </c>
      <c r="I5" s="8">
        <f t="shared" ref="I5" si="0">IF(G5&gt;0,G5,H5)</f>
        <v>1000000</v>
      </c>
    </row>
    <row r="6" spans="1:12" x14ac:dyDescent="0.25">
      <c r="A6" s="3" t="s">
        <v>32</v>
      </c>
      <c r="B6" s="9"/>
      <c r="C6" s="9">
        <v>0</v>
      </c>
      <c r="D6" s="9">
        <f t="shared" ref="D6:D8" si="1">IF(B6&gt;0,B6,C6)</f>
        <v>0</v>
      </c>
      <c r="F6" s="37" t="s">
        <v>17</v>
      </c>
      <c r="G6" s="38">
        <v>6000000</v>
      </c>
      <c r="H6" s="38">
        <f>IFERROR(IF(NOT(EXACT(B3,"INVERSO")),I3-I4-I5,I10+I9+I8),"No aplica")</f>
        <v>6000000</v>
      </c>
      <c r="I6" s="38">
        <f>IF(G6&gt;0,G6,H6)</f>
        <v>6000000</v>
      </c>
    </row>
    <row r="7" spans="1:12" x14ac:dyDescent="0.25">
      <c r="A7" s="3" t="s">
        <v>33</v>
      </c>
      <c r="B7" s="9"/>
      <c r="C7" s="9">
        <v>0</v>
      </c>
      <c r="D7" s="9">
        <f t="shared" si="1"/>
        <v>0</v>
      </c>
      <c r="F7" s="6" t="s">
        <v>41</v>
      </c>
      <c r="G7" s="8"/>
      <c r="H7" s="8">
        <f>IFERROR(D25-I18-I21,"No aplica")</f>
        <v>34</v>
      </c>
      <c r="I7" s="8">
        <f t="shared" ref="I7:I11" si="2">IF(G7&gt;0,G7,H7)</f>
        <v>34</v>
      </c>
    </row>
    <row r="8" spans="1:12" x14ac:dyDescent="0.25">
      <c r="A8" s="3" t="s">
        <v>34</v>
      </c>
      <c r="B8" s="9"/>
      <c r="C8" s="9">
        <v>0</v>
      </c>
      <c r="D8" s="9">
        <f t="shared" si="1"/>
        <v>0</v>
      </c>
      <c r="F8" s="6" t="s">
        <v>18</v>
      </c>
      <c r="G8" s="8"/>
      <c r="H8" s="8">
        <f>I27</f>
        <v>3675000</v>
      </c>
      <c r="I8" s="8">
        <f t="shared" si="2"/>
        <v>3675000</v>
      </c>
    </row>
    <row r="9" spans="1:12" x14ac:dyDescent="0.25">
      <c r="A9" s="6" t="s">
        <v>35</v>
      </c>
      <c r="B9" s="9"/>
      <c r="C9" s="9">
        <f>IFERROR(D6+D7-D8,"No aplica")</f>
        <v>0</v>
      </c>
      <c r="D9" s="9">
        <f>IF(B9&gt;0,B9,C9)</f>
        <v>0</v>
      </c>
      <c r="F9" s="6" t="s">
        <v>19</v>
      </c>
      <c r="G9" s="8"/>
      <c r="H9" s="8">
        <f>IFERROR(I26-I5-I22,"No aplica")</f>
        <v>0</v>
      </c>
      <c r="I9" s="8">
        <f t="shared" si="2"/>
        <v>0</v>
      </c>
    </row>
    <row r="10" spans="1:12" x14ac:dyDescent="0.25">
      <c r="A10" s="3" t="s">
        <v>49</v>
      </c>
      <c r="B10" s="14"/>
      <c r="C10" s="14">
        <v>0</v>
      </c>
      <c r="D10" s="14">
        <f>IF(B10&gt;0,B10,C10)</f>
        <v>0</v>
      </c>
      <c r="F10" s="6" t="s">
        <v>20</v>
      </c>
      <c r="G10" s="8"/>
      <c r="H10" s="8">
        <f>IFERROR(IF(NOT(EXACT(B3, "INVERSO")),I6-I8-I9,I12+I11),"No aplica")</f>
        <v>2325000</v>
      </c>
      <c r="I10" s="8">
        <f>IF(G10&gt;0,G10,H10)</f>
        <v>2325000</v>
      </c>
    </row>
    <row r="11" spans="1:12" x14ac:dyDescent="0.25">
      <c r="A11" s="3" t="s">
        <v>50</v>
      </c>
      <c r="B11" s="14"/>
      <c r="C11" s="14">
        <v>0</v>
      </c>
      <c r="D11" s="14">
        <f>IF(B11&gt;0,B11,C11)</f>
        <v>0</v>
      </c>
      <c r="F11" s="6" t="s">
        <v>22</v>
      </c>
      <c r="G11" s="8"/>
      <c r="H11" s="8">
        <v>0</v>
      </c>
      <c r="I11" s="8">
        <f t="shared" si="2"/>
        <v>0</v>
      </c>
    </row>
    <row r="12" spans="1:12" x14ac:dyDescent="0.25">
      <c r="F12" s="6" t="s">
        <v>23</v>
      </c>
      <c r="G12" s="8"/>
      <c r="H12" s="8">
        <f>IFERROR(IF(NOT(EXACT(B3, "INVERSO")),I10-I11,I14/(1-I13)),"No aplica")</f>
        <v>2325000</v>
      </c>
      <c r="I12" s="8">
        <f>IF(G12&gt;0,G12,H12)</f>
        <v>2325000</v>
      </c>
      <c r="K12" s="20"/>
      <c r="L12" s="21"/>
    </row>
    <row r="13" spans="1:12" x14ac:dyDescent="0.25">
      <c r="A13" s="4" t="s">
        <v>52</v>
      </c>
      <c r="B13" s="4" t="s">
        <v>31</v>
      </c>
      <c r="C13" s="4" t="s">
        <v>1</v>
      </c>
      <c r="D13" s="4" t="s">
        <v>21</v>
      </c>
      <c r="F13" s="6" t="s">
        <v>24</v>
      </c>
      <c r="G13" s="10" t="s">
        <v>56</v>
      </c>
      <c r="H13" s="10" t="s">
        <v>56</v>
      </c>
      <c r="I13" s="10">
        <f>B2</f>
        <v>0</v>
      </c>
    </row>
    <row r="14" spans="1:12" x14ac:dyDescent="0.25">
      <c r="A14" s="3" t="s">
        <v>36</v>
      </c>
      <c r="B14" s="9">
        <v>60000</v>
      </c>
      <c r="C14" s="9">
        <v>0</v>
      </c>
      <c r="D14" s="9">
        <f t="shared" ref="D14:D21" si="3">IF(B14&gt;0,B14,C14)</f>
        <v>60000</v>
      </c>
      <c r="F14" s="6" t="s">
        <v>30</v>
      </c>
      <c r="G14" s="8"/>
      <c r="H14" s="8">
        <f>IFERROR(I12-(I12*I13),"No aplica")</f>
        <v>2325000</v>
      </c>
      <c r="I14" s="8">
        <f>IF(G14&gt;0,G14,H14)</f>
        <v>2325000</v>
      </c>
    </row>
    <row r="15" spans="1:12" x14ac:dyDescent="0.25">
      <c r="A15" s="3" t="s">
        <v>37</v>
      </c>
      <c r="B15" s="9">
        <v>480000</v>
      </c>
      <c r="C15" s="9">
        <v>0</v>
      </c>
      <c r="D15" s="9">
        <f t="shared" si="3"/>
        <v>480000</v>
      </c>
      <c r="F15" s="6" t="s">
        <v>27</v>
      </c>
      <c r="G15" s="8"/>
      <c r="H15" s="8">
        <f>IFERROR(IF(B1="FIFO",IF(D14&gt;D24,(D14-D24)*D18,(D17-(D24-D14))*D20),IF(B1="LIFO",IF(D17&gt;D24,(D17-D24)*D20,(D14-(D24-D17))*D18))),"No aplica")</f>
        <v>0</v>
      </c>
      <c r="I15" s="8">
        <f>IF(G15&gt;0,G15,H15)</f>
        <v>0</v>
      </c>
    </row>
    <row r="16" spans="1:12" x14ac:dyDescent="0.25">
      <c r="A16" s="3" t="s">
        <v>38</v>
      </c>
      <c r="B16" s="9"/>
      <c r="C16" s="9">
        <v>0</v>
      </c>
      <c r="D16" s="9">
        <f t="shared" si="3"/>
        <v>0</v>
      </c>
    </row>
    <row r="17" spans="1:9" x14ac:dyDescent="0.25">
      <c r="A17" s="3" t="s">
        <v>10</v>
      </c>
      <c r="B17" s="9"/>
      <c r="C17" s="9">
        <v>0</v>
      </c>
      <c r="D17" s="9">
        <f t="shared" si="3"/>
        <v>0</v>
      </c>
      <c r="F17" s="4" t="s">
        <v>55</v>
      </c>
      <c r="G17" s="4" t="s">
        <v>2</v>
      </c>
      <c r="H17" s="4" t="s">
        <v>1</v>
      </c>
      <c r="I17" s="4" t="s">
        <v>21</v>
      </c>
    </row>
    <row r="18" spans="1:9" x14ac:dyDescent="0.25">
      <c r="A18" s="7" t="s">
        <v>25</v>
      </c>
      <c r="B18" s="8">
        <v>24</v>
      </c>
      <c r="C18" s="8">
        <v>0</v>
      </c>
      <c r="D18" s="8">
        <f t="shared" si="3"/>
        <v>24</v>
      </c>
      <c r="F18" s="5" t="s">
        <v>43</v>
      </c>
      <c r="G18" s="14"/>
      <c r="H18" s="14">
        <f>IFERROR(I19/D24,"No aplica")</f>
        <v>2</v>
      </c>
      <c r="I18" s="14">
        <f t="shared" ref="I18:I27" si="4">IF(G18&gt;0,G18,H18)</f>
        <v>2</v>
      </c>
    </row>
    <row r="19" spans="1:9" x14ac:dyDescent="0.25">
      <c r="A19" s="7" t="s">
        <v>26</v>
      </c>
      <c r="B19" s="8"/>
      <c r="C19" s="8">
        <f>IFERROR(D18*D14,"No aplica")</f>
        <v>1440000</v>
      </c>
      <c r="D19" s="8">
        <f t="shared" si="3"/>
        <v>1440000</v>
      </c>
      <c r="F19" s="5" t="s">
        <v>4</v>
      </c>
      <c r="G19" s="14">
        <v>1000000</v>
      </c>
      <c r="H19" s="14">
        <v>0</v>
      </c>
      <c r="I19" s="14">
        <f t="shared" si="4"/>
        <v>1000000</v>
      </c>
    </row>
    <row r="20" spans="1:9" x14ac:dyDescent="0.25">
      <c r="A20" s="6" t="s">
        <v>57</v>
      </c>
      <c r="B20" s="8"/>
      <c r="C20" s="8">
        <f>IFERROR((I30+I31+I22)/D17,0)</f>
        <v>0</v>
      </c>
      <c r="D20" s="8">
        <f t="shared" si="3"/>
        <v>0</v>
      </c>
      <c r="F20" s="2" t="s">
        <v>5</v>
      </c>
      <c r="G20" s="14"/>
      <c r="H20" s="14">
        <v>0</v>
      </c>
      <c r="I20" s="14">
        <f t="shared" si="4"/>
        <v>0</v>
      </c>
    </row>
    <row r="21" spans="1:9" x14ac:dyDescent="0.25">
      <c r="A21" s="7" t="s">
        <v>58</v>
      </c>
      <c r="B21" s="8"/>
      <c r="C21" s="22">
        <f>IFERROR(D20*D17,"No aplica")</f>
        <v>0</v>
      </c>
      <c r="D21" s="8">
        <f t="shared" si="3"/>
        <v>0</v>
      </c>
      <c r="F21" s="3" t="s">
        <v>42</v>
      </c>
      <c r="G21" s="14"/>
      <c r="H21" s="14">
        <f>D20</f>
        <v>0</v>
      </c>
      <c r="I21" s="14">
        <f t="shared" si="4"/>
        <v>0</v>
      </c>
    </row>
    <row r="22" spans="1:9" x14ac:dyDescent="0.25">
      <c r="F22" s="3" t="s">
        <v>7</v>
      </c>
      <c r="G22" s="14"/>
      <c r="H22" s="14">
        <v>0</v>
      </c>
      <c r="I22" s="14">
        <f t="shared" si="4"/>
        <v>0</v>
      </c>
    </row>
    <row r="23" spans="1:9" x14ac:dyDescent="0.25">
      <c r="A23" s="4" t="s">
        <v>53</v>
      </c>
      <c r="B23" s="4" t="s">
        <v>2</v>
      </c>
      <c r="C23" s="4" t="s">
        <v>1</v>
      </c>
      <c r="D23" s="4" t="s">
        <v>21</v>
      </c>
      <c r="F23" s="2" t="s">
        <v>6</v>
      </c>
      <c r="G23" s="14">
        <v>3675000</v>
      </c>
      <c r="H23" s="14">
        <v>0</v>
      </c>
      <c r="I23" s="14">
        <f t="shared" si="4"/>
        <v>3675000</v>
      </c>
    </row>
    <row r="24" spans="1:9" x14ac:dyDescent="0.25">
      <c r="A24" s="3" t="s">
        <v>11</v>
      </c>
      <c r="B24" s="9">
        <v>500000</v>
      </c>
      <c r="C24" s="9">
        <f>IFERROR(D14+D15-D16,"No aplica")</f>
        <v>540000</v>
      </c>
      <c r="D24" s="9">
        <f>IF(B24&gt;0,B24,C24)</f>
        <v>500000</v>
      </c>
      <c r="F24" s="2" t="s">
        <v>8</v>
      </c>
      <c r="G24" s="14"/>
      <c r="H24" s="14">
        <v>0</v>
      </c>
      <c r="I24" s="14">
        <f t="shared" si="4"/>
        <v>0</v>
      </c>
    </row>
    <row r="25" spans="1:9" x14ac:dyDescent="0.25">
      <c r="A25" s="3" t="s">
        <v>29</v>
      </c>
      <c r="B25" s="14">
        <v>36</v>
      </c>
      <c r="C25" s="14">
        <v>0</v>
      </c>
      <c r="D25" s="14">
        <f>IF(B25&gt;0,B25,C25)</f>
        <v>36</v>
      </c>
      <c r="F25" s="2" t="s">
        <v>9</v>
      </c>
      <c r="G25" s="14"/>
      <c r="H25" s="14">
        <v>0</v>
      </c>
      <c r="I25" s="14">
        <f t="shared" si="4"/>
        <v>0</v>
      </c>
    </row>
    <row r="26" spans="1:9" x14ac:dyDescent="0.25">
      <c r="A26" s="2" t="s">
        <v>54</v>
      </c>
      <c r="B26" s="14"/>
      <c r="C26" s="29">
        <f>IFERROR(D25*D24,"No aplica")</f>
        <v>18000000</v>
      </c>
      <c r="D26" s="14">
        <f>IF(B26&gt;0,B26,C26)</f>
        <v>18000000</v>
      </c>
      <c r="F26" s="15" t="s">
        <v>19</v>
      </c>
      <c r="G26" s="16"/>
      <c r="H26" s="16">
        <f>IFERROR(I19+I22+I24,"No aplica")</f>
        <v>1000000</v>
      </c>
      <c r="I26" s="16">
        <f t="shared" si="4"/>
        <v>1000000</v>
      </c>
    </row>
    <row r="27" spans="1:9" x14ac:dyDescent="0.25">
      <c r="F27" s="15" t="s">
        <v>18</v>
      </c>
      <c r="G27" s="16"/>
      <c r="H27" s="16">
        <f>IFERROR(I20+I23+I25,"No aplica")</f>
        <v>3675000</v>
      </c>
      <c r="I27" s="16">
        <f t="shared" si="4"/>
        <v>3675000</v>
      </c>
    </row>
    <row r="28" spans="1:9" x14ac:dyDescent="0.25">
      <c r="A28" s="4" t="s">
        <v>44</v>
      </c>
      <c r="B28" s="4" t="s">
        <v>31</v>
      </c>
      <c r="C28" s="4" t="s">
        <v>1</v>
      </c>
      <c r="D28" s="4" t="s">
        <v>21</v>
      </c>
      <c r="F28" s="11"/>
      <c r="G28" s="12"/>
      <c r="H28" s="12"/>
      <c r="I28" s="13"/>
    </row>
    <row r="29" spans="1:9" x14ac:dyDescent="0.25">
      <c r="A29" s="6" t="s">
        <v>45</v>
      </c>
      <c r="B29" s="17"/>
      <c r="C29" s="17">
        <f>IFERROR(I27/I7,"No aplica")</f>
        <v>108088.23529411765</v>
      </c>
      <c r="D29" s="17">
        <f>IF(B29&gt;0,B29,C29)</f>
        <v>108088.23529411765</v>
      </c>
      <c r="F29" s="4" t="s">
        <v>3</v>
      </c>
      <c r="G29" s="4" t="s">
        <v>2</v>
      </c>
      <c r="H29" s="4" t="s">
        <v>1</v>
      </c>
      <c r="I29" s="4" t="s">
        <v>21</v>
      </c>
    </row>
    <row r="30" spans="1:9" x14ac:dyDescent="0.25">
      <c r="A30" s="6" t="s">
        <v>47</v>
      </c>
      <c r="B30" s="18"/>
      <c r="C30" s="18">
        <f>IFERROR(D29*D25,"No aplica")</f>
        <v>3891176.4705882352</v>
      </c>
      <c r="D30" s="18">
        <f>IF(B30&gt;0,B30,C30)</f>
        <v>3891176.4705882352</v>
      </c>
      <c r="F30" s="7" t="s">
        <v>39</v>
      </c>
      <c r="G30" s="8"/>
      <c r="H30" s="8">
        <f>IFERROR(IF(B1="FIFO",IF(D6&gt;D9,D9*D10,(D10*D6)+((D9-D6)*D11)),IF(B1="LIFO",IF(D7&gt;D9,D9*D11,(D11*D7)+((D9-D7)*D10)))),"No aplica")</f>
        <v>0</v>
      </c>
      <c r="I30" s="8">
        <f>IF(G30&gt;0,G30,H30)</f>
        <v>0</v>
      </c>
    </row>
    <row r="31" spans="1:9" x14ac:dyDescent="0.25">
      <c r="A31" s="6" t="s">
        <v>46</v>
      </c>
      <c r="B31" s="17"/>
      <c r="C31" s="17">
        <f>IFERROR(B35/B39,"No aplica")</f>
        <v>118091.25964010283</v>
      </c>
      <c r="D31" s="17">
        <f>IF(B31&gt;0,B31,C31)</f>
        <v>118091.25964010283</v>
      </c>
      <c r="F31" s="7" t="s">
        <v>40</v>
      </c>
      <c r="G31" s="8"/>
      <c r="H31" s="8">
        <v>0</v>
      </c>
      <c r="I31" s="8">
        <f>IF(G31&gt;0,G31,H31)</f>
        <v>0</v>
      </c>
    </row>
    <row r="32" spans="1:9" x14ac:dyDescent="0.25">
      <c r="A32" s="6" t="s">
        <v>48</v>
      </c>
      <c r="B32" s="18"/>
      <c r="C32" s="18">
        <f>IFERROR(D29*D25,"No aplica")</f>
        <v>3891176.4705882352</v>
      </c>
      <c r="D32" s="18">
        <f>IF(B32&gt;0,B32,C32)</f>
        <v>3891176.4705882352</v>
      </c>
      <c r="F32" s="7" t="s">
        <v>73</v>
      </c>
      <c r="G32" s="8"/>
      <c r="H32" s="8">
        <f>IFERROR(IF(B1="FIFO",IF(D14&gt;D24,D24*D18,D19+((D24-D14)*D20)),IF(B1="LIFO",IF(D17&gt;D24,D24*D20,D21+((D24-B17)*D18)))),"No aplica")</f>
        <v>1440000</v>
      </c>
      <c r="I32" s="8">
        <f>IF(G32&gt;0,G32,H32)</f>
        <v>1440000</v>
      </c>
    </row>
    <row r="34" spans="1:5" x14ac:dyDescent="0.25">
      <c r="A34" s="4" t="s">
        <v>71</v>
      </c>
      <c r="B34" s="4" t="s">
        <v>21</v>
      </c>
    </row>
    <row r="35" spans="1:5" x14ac:dyDescent="0.25">
      <c r="A35" s="3" t="s">
        <v>60</v>
      </c>
      <c r="B35" s="24">
        <f>H27-B36</f>
        <v>3675000</v>
      </c>
    </row>
    <row r="36" spans="1:5" x14ac:dyDescent="0.25">
      <c r="A36" s="3" t="s">
        <v>63</v>
      </c>
      <c r="B36" s="25"/>
    </row>
    <row r="37" spans="1:5" x14ac:dyDescent="0.25">
      <c r="A37" s="3" t="s">
        <v>62</v>
      </c>
      <c r="B37" s="24">
        <f>I32+I19-B38</f>
        <v>2440000</v>
      </c>
    </row>
    <row r="38" spans="1:5" x14ac:dyDescent="0.25">
      <c r="A38" s="3" t="s">
        <v>64</v>
      </c>
      <c r="B38" s="25"/>
    </row>
    <row r="39" spans="1:5" x14ac:dyDescent="0.25">
      <c r="A39" s="26" t="s">
        <v>61</v>
      </c>
      <c r="B39" s="27">
        <f>IFERROR(D25-B37/B24,"No aplica")</f>
        <v>31.12</v>
      </c>
    </row>
    <row r="41" spans="1:5" x14ac:dyDescent="0.25">
      <c r="A41" s="43" t="s">
        <v>78</v>
      </c>
      <c r="B41" s="4" t="s">
        <v>74</v>
      </c>
      <c r="C41" s="4" t="s">
        <v>75</v>
      </c>
      <c r="D41" s="4" t="s">
        <v>76</v>
      </c>
      <c r="E41" s="4" t="s">
        <v>77</v>
      </c>
    </row>
    <row r="42" spans="1:5" x14ac:dyDescent="0.25">
      <c r="A42" s="23" t="s">
        <v>72</v>
      </c>
      <c r="B42" s="6">
        <f>D14</f>
        <v>60000</v>
      </c>
      <c r="C42" s="46">
        <f>D15</f>
        <v>480000</v>
      </c>
      <c r="D42" s="44">
        <f>D24</f>
        <v>500000</v>
      </c>
      <c r="E42" s="45">
        <f>(B42+C42)-D42</f>
        <v>40000</v>
      </c>
    </row>
    <row r="43" spans="1:5" x14ac:dyDescent="0.25">
      <c r="A43" s="23" t="s">
        <v>57</v>
      </c>
      <c r="B43" s="40">
        <f>D18</f>
        <v>24</v>
      </c>
      <c r="C43" s="47">
        <f>C44/C42</f>
        <v>21.75</v>
      </c>
      <c r="D43" s="40">
        <f>D44/D42</f>
        <v>22</v>
      </c>
      <c r="E43" s="39">
        <v>22</v>
      </c>
    </row>
    <row r="44" spans="1:5" x14ac:dyDescent="0.25">
      <c r="A44" s="23" t="s">
        <v>13</v>
      </c>
      <c r="B44" s="40">
        <f>I32</f>
        <v>1440000</v>
      </c>
      <c r="C44" s="47">
        <f>(D44+E44)-B44</f>
        <v>10440000</v>
      </c>
      <c r="D44" s="40">
        <f>I4</f>
        <v>11000000</v>
      </c>
      <c r="E44" s="39">
        <f>E42*E43</f>
        <v>880000</v>
      </c>
    </row>
    <row r="45" spans="1:5" x14ac:dyDescent="0.25">
      <c r="A45" s="11"/>
      <c r="B45" s="11"/>
      <c r="C45" s="42"/>
      <c r="D45" s="42"/>
    </row>
    <row r="46" spans="1:5" x14ac:dyDescent="0.25">
      <c r="A46" s="43" t="s">
        <v>79</v>
      </c>
      <c r="B46" s="4" t="s">
        <v>85</v>
      </c>
      <c r="C46" s="4" t="s">
        <v>84</v>
      </c>
      <c r="D46" s="51" t="s">
        <v>86</v>
      </c>
      <c r="E46" s="51" t="s">
        <v>87</v>
      </c>
    </row>
    <row r="47" spans="1:5" x14ac:dyDescent="0.25">
      <c r="A47" s="6" t="s">
        <v>81</v>
      </c>
      <c r="B47" s="39">
        <f>D25</f>
        <v>36</v>
      </c>
      <c r="C47" s="39">
        <v>0</v>
      </c>
      <c r="D47" s="39">
        <f>B47</f>
        <v>36</v>
      </c>
      <c r="E47" s="39">
        <f>B58*B47</f>
        <v>13111992.071357779</v>
      </c>
    </row>
    <row r="48" spans="1:5" x14ac:dyDescent="0.25">
      <c r="A48" s="6" t="s">
        <v>13</v>
      </c>
      <c r="B48" s="39">
        <f>C43</f>
        <v>21.75</v>
      </c>
      <c r="C48" s="39">
        <v>0</v>
      </c>
      <c r="D48" s="39">
        <f>B48</f>
        <v>21.75</v>
      </c>
      <c r="E48" s="39">
        <f>B58*B48</f>
        <v>7921828.5431119921</v>
      </c>
    </row>
    <row r="49" spans="1:5" x14ac:dyDescent="0.25">
      <c r="A49" s="6" t="s">
        <v>4</v>
      </c>
      <c r="B49" s="39">
        <f>I5/D24</f>
        <v>2</v>
      </c>
      <c r="C49" s="39">
        <v>0</v>
      </c>
      <c r="D49" s="39">
        <f>B49</f>
        <v>2</v>
      </c>
      <c r="E49" s="39">
        <f>B58*B49</f>
        <v>728444.00396432111</v>
      </c>
    </row>
    <row r="50" spans="1:5" x14ac:dyDescent="0.25">
      <c r="A50" s="52" t="s">
        <v>17</v>
      </c>
      <c r="B50" s="53">
        <f>B47-B48-B49</f>
        <v>12.25</v>
      </c>
      <c r="C50" s="53">
        <v>0</v>
      </c>
      <c r="D50" s="53">
        <f>D47-D48-D49</f>
        <v>12.25</v>
      </c>
      <c r="E50" s="53">
        <f>E47-E48-E49</f>
        <v>4461719.5242814664</v>
      </c>
    </row>
    <row r="51" spans="1:5" x14ac:dyDescent="0.25">
      <c r="A51" s="6" t="s">
        <v>18</v>
      </c>
      <c r="B51" s="39"/>
      <c r="C51" s="48">
        <f>I23</f>
        <v>3675000</v>
      </c>
      <c r="D51" s="39">
        <f>B50-B53</f>
        <v>2.16</v>
      </c>
      <c r="E51" s="39">
        <f>C51</f>
        <v>3675000</v>
      </c>
    </row>
    <row r="52" spans="1:5" x14ac:dyDescent="0.25">
      <c r="A52" s="6" t="s">
        <v>19</v>
      </c>
      <c r="B52" s="39">
        <v>0</v>
      </c>
      <c r="C52" s="39">
        <v>0</v>
      </c>
      <c r="D52" s="39">
        <f>B52</f>
        <v>0</v>
      </c>
      <c r="E52" s="39">
        <f>C52</f>
        <v>0</v>
      </c>
    </row>
    <row r="53" spans="1:5" x14ac:dyDescent="0.25">
      <c r="A53" s="52" t="s">
        <v>20</v>
      </c>
      <c r="B53" s="53">
        <f>B50-C57</f>
        <v>10.09</v>
      </c>
      <c r="C53" s="53">
        <f>C50-C51-C52</f>
        <v>-3675000</v>
      </c>
      <c r="D53" s="53">
        <f>D50-D51-D52</f>
        <v>10.09</v>
      </c>
      <c r="E53" s="53">
        <f>E50-E51</f>
        <v>786719.52428146638</v>
      </c>
    </row>
    <row r="54" spans="1:5" x14ac:dyDescent="0.25">
      <c r="A54" s="6" t="s">
        <v>22</v>
      </c>
      <c r="B54" s="57">
        <v>0</v>
      </c>
      <c r="C54" s="57">
        <v>0</v>
      </c>
      <c r="D54" s="57">
        <v>0</v>
      </c>
      <c r="E54" s="57">
        <v>0</v>
      </c>
    </row>
    <row r="55" spans="1:5" x14ac:dyDescent="0.25">
      <c r="A55" s="52" t="s">
        <v>80</v>
      </c>
      <c r="B55" s="53">
        <f>B53-(B53*B54)</f>
        <v>10.09</v>
      </c>
      <c r="C55" s="58">
        <f>C53-(C54*C53)</f>
        <v>-3675000</v>
      </c>
      <c r="D55" s="53">
        <f>D53-(D53*D54)</f>
        <v>10.09</v>
      </c>
      <c r="E55" s="53">
        <f>E53-(E53*E54)</f>
        <v>786719.52428146638</v>
      </c>
    </row>
    <row r="57" spans="1:5" x14ac:dyDescent="0.25">
      <c r="A57" s="4" t="s">
        <v>83</v>
      </c>
      <c r="B57" s="50">
        <v>0.06</v>
      </c>
      <c r="C57" s="48">
        <f>B47*B57</f>
        <v>2.16</v>
      </c>
    </row>
    <row r="58" spans="1:5" x14ac:dyDescent="0.25">
      <c r="A58" s="54" t="s">
        <v>82</v>
      </c>
      <c r="B58" s="56">
        <f>ABS(C55)/B55</f>
        <v>364222.00198216055</v>
      </c>
      <c r="C58" s="56"/>
      <c r="D58" s="32"/>
    </row>
    <row r="59" spans="1:5" x14ac:dyDescent="0.25">
      <c r="D59" s="32"/>
    </row>
    <row r="60" spans="1:5" x14ac:dyDescent="0.25">
      <c r="D60" s="49"/>
    </row>
    <row r="61" spans="1:5" x14ac:dyDescent="0.25">
      <c r="D61" s="49"/>
    </row>
    <row r="66" spans="2:3" x14ac:dyDescent="0.25">
      <c r="B66" s="41"/>
      <c r="C66" s="11"/>
    </row>
    <row r="67" spans="2:3" x14ac:dyDescent="0.25">
      <c r="B67" s="41"/>
      <c r="C67" s="42"/>
    </row>
    <row r="68" spans="2:3" x14ac:dyDescent="0.25">
      <c r="B68" s="41"/>
      <c r="C68" s="55"/>
    </row>
  </sheetData>
  <mergeCells count="2">
    <mergeCell ref="F1:I1"/>
    <mergeCell ref="B58:C58"/>
  </mergeCells>
  <dataValidations disablePrompts="1" count="2">
    <dataValidation type="list" allowBlank="1" showInputMessage="1" showErrorMessage="1" sqref="B1" xr:uid="{BE28B539-E171-4649-8C7C-F290EA6F59DB}">
      <formula1>"FIFO,LIFO,PPP"</formula1>
    </dataValidation>
    <dataValidation type="list" allowBlank="1" showInputMessage="1" showErrorMessage="1" sqref="B3" xr:uid="{6019DC41-E96A-457F-9C82-5EAB89346853}">
      <formula1>"NORMAL,INVERSO"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Consigna</vt:lpstr>
      <vt:lpstr>Resolución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Agustin Ariel Tamborini Criscueli</cp:lastModifiedBy>
  <dcterms:created xsi:type="dcterms:W3CDTF">2015-06-05T18:19:34Z</dcterms:created>
  <dcterms:modified xsi:type="dcterms:W3CDTF">2021-08-06T05:06:37Z</dcterms:modified>
</cp:coreProperties>
</file>