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ambo\OneDrive\Documentos\UTN\3er Año\Economía\Práctica de Parcial\1er Parcial Garay\"/>
    </mc:Choice>
  </mc:AlternateContent>
  <xr:revisionPtr revIDLastSave="0" documentId="13_ncr:1_{31A36817-723F-49D8-986A-AFAC00AC069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nsigna" sheetId="6" r:id="rId1"/>
    <sheet name="Punto 1" sheetId="3" r:id="rId2"/>
    <sheet name="Punto 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7" l="1"/>
  <c r="I30" i="7" s="1"/>
  <c r="G23" i="7"/>
  <c r="I31" i="7"/>
  <c r="I25" i="7"/>
  <c r="D25" i="7"/>
  <c r="I24" i="7"/>
  <c r="I23" i="7"/>
  <c r="I22" i="7"/>
  <c r="I20" i="7"/>
  <c r="I19" i="7"/>
  <c r="D17" i="7"/>
  <c r="C18" i="7" s="1"/>
  <c r="D18" i="7" s="1"/>
  <c r="D16" i="7"/>
  <c r="D15" i="7"/>
  <c r="I14" i="7"/>
  <c r="D14" i="7"/>
  <c r="I13" i="7"/>
  <c r="G12" i="7" s="1"/>
  <c r="D13" i="7"/>
  <c r="I11" i="7"/>
  <c r="D10" i="7"/>
  <c r="D9" i="7"/>
  <c r="D7" i="7"/>
  <c r="C8" i="7" s="1"/>
  <c r="D8" i="7" s="1"/>
  <c r="D6" i="7"/>
  <c r="H5" i="7"/>
  <c r="I5" i="7" s="1"/>
  <c r="D5" i="7"/>
  <c r="G3" i="3"/>
  <c r="G6" i="3"/>
  <c r="G10" i="3"/>
  <c r="G12" i="3"/>
  <c r="I24" i="3"/>
  <c r="I13" i="3"/>
  <c r="I31" i="3"/>
  <c r="D17" i="3"/>
  <c r="I19" i="3"/>
  <c r="H5" i="3" s="1"/>
  <c r="I20" i="3"/>
  <c r="I23" i="3"/>
  <c r="I25" i="3"/>
  <c r="H30" i="7" l="1"/>
  <c r="C23" i="7"/>
  <c r="D23" i="7" s="1"/>
  <c r="C24" i="7"/>
  <c r="D24" i="7" s="1"/>
  <c r="C25" i="7" s="1"/>
  <c r="H3" i="7"/>
  <c r="H26" i="7"/>
  <c r="I26" i="7" s="1"/>
  <c r="H9" i="7" s="1"/>
  <c r="I9" i="7" s="1"/>
  <c r="C19" i="7"/>
  <c r="D19" i="7" s="1"/>
  <c r="C20" i="7" s="1"/>
  <c r="D20" i="7" s="1"/>
  <c r="H27" i="7"/>
  <c r="I27" i="7" s="1"/>
  <c r="I12" i="7"/>
  <c r="H14" i="7" s="1"/>
  <c r="G10" i="7"/>
  <c r="H8" i="7"/>
  <c r="I8" i="7" s="1"/>
  <c r="H18" i="7"/>
  <c r="I18" i="7" s="1"/>
  <c r="H15" i="7"/>
  <c r="I15" i="7" s="1"/>
  <c r="H32" i="7"/>
  <c r="I32" i="7" s="1"/>
  <c r="H4" i="7" s="1"/>
  <c r="I4" i="7" s="1"/>
  <c r="H27" i="3"/>
  <c r="I27" i="3" s="1"/>
  <c r="D9" i="3"/>
  <c r="D10" i="3"/>
  <c r="D15" i="3"/>
  <c r="D14" i="3"/>
  <c r="D13" i="3"/>
  <c r="D7" i="3"/>
  <c r="D6" i="3"/>
  <c r="D5" i="3"/>
  <c r="H21" i="7" l="1"/>
  <c r="I21" i="7" s="1"/>
  <c r="H7" i="7" s="1"/>
  <c r="I7" i="7" s="1"/>
  <c r="I10" i="7"/>
  <c r="H12" i="7" s="1"/>
  <c r="G6" i="7"/>
  <c r="H8" i="3"/>
  <c r="C18" i="3"/>
  <c r="D18" i="3" s="1"/>
  <c r="C8" i="3"/>
  <c r="D8" i="3" s="1"/>
  <c r="H30" i="3" s="1"/>
  <c r="C23" i="3"/>
  <c r="D23" i="3" s="1"/>
  <c r="C28" i="7" l="1"/>
  <c r="D28" i="7" s="1"/>
  <c r="C30" i="7"/>
  <c r="D30" i="7" s="1"/>
  <c r="I6" i="7"/>
  <c r="H10" i="7" s="1"/>
  <c r="G3" i="7"/>
  <c r="I3" i="7" s="1"/>
  <c r="H6" i="7" s="1"/>
  <c r="I30" i="3"/>
  <c r="H18" i="3"/>
  <c r="I18" i="3" s="1"/>
  <c r="I11" i="3"/>
  <c r="C31" i="7" l="1"/>
  <c r="D31" i="7" s="1"/>
  <c r="C29" i="7"/>
  <c r="D29" i="7" s="1"/>
  <c r="I5" i="3"/>
  <c r="I8" i="3" l="1"/>
  <c r="I22" i="3" l="1"/>
  <c r="H26" i="3" l="1"/>
  <c r="I26" i="3" s="1"/>
  <c r="H9" i="3" s="1"/>
  <c r="I9" i="3" l="1"/>
  <c r="D16" i="3"/>
  <c r="C19" i="3" s="1"/>
  <c r="D19" i="3" l="1"/>
  <c r="H32" i="3" s="1"/>
  <c r="H21" i="3" l="1"/>
  <c r="I21" i="3" s="1"/>
  <c r="H15" i="3"/>
  <c r="I15" i="3" s="1"/>
  <c r="C20" i="3"/>
  <c r="D20" i="3" s="1"/>
  <c r="I32" i="3" l="1"/>
  <c r="H4" i="3" s="1"/>
  <c r="I4" i="3" s="1"/>
  <c r="D30" i="3" l="1"/>
  <c r="C31" i="3" s="1"/>
  <c r="D31" i="3" l="1"/>
  <c r="D25" i="3"/>
  <c r="C24" i="3"/>
  <c r="D24" i="3"/>
  <c r="H7" i="3"/>
  <c r="I7" i="3"/>
  <c r="C28" i="3"/>
  <c r="D28" i="3"/>
  <c r="C29" i="3"/>
  <c r="D29" i="3"/>
  <c r="I14" i="3"/>
  <c r="I12" i="3"/>
  <c r="H14" i="3"/>
  <c r="I10" i="3"/>
  <c r="H12" i="3"/>
  <c r="C25" i="3"/>
  <c r="I3" i="3"/>
  <c r="H6" i="3"/>
  <c r="I6" i="3"/>
  <c r="H10" i="3"/>
  <c r="H3" i="3"/>
</calcChain>
</file>

<file path=xl/sharedStrings.xml><?xml version="1.0" encoding="utf-8"?>
<sst xmlns="http://schemas.openxmlformats.org/spreadsheetml/2006/main" count="163" uniqueCount="61">
  <si>
    <t>Tasa de impuesto a las ganancias</t>
  </si>
  <si>
    <t>Cálculo</t>
  </si>
  <si>
    <t>Valor directo</t>
  </si>
  <si>
    <t>Tipo de costo</t>
  </si>
  <si>
    <t>Gastos de comercialización variables</t>
  </si>
  <si>
    <t>Gastos de comercialización fijos</t>
  </si>
  <si>
    <t>Gastos de fabricación fijos</t>
  </si>
  <si>
    <t>Gastos de fabricación variables</t>
  </si>
  <si>
    <t>Gastos administrativos y financieros variables</t>
  </si>
  <si>
    <t>Gastos administrativos y financieros fijos</t>
  </si>
  <si>
    <t>Cantidad producida</t>
  </si>
  <si>
    <t>Cantidad vendida</t>
  </si>
  <si>
    <t>Fórmula</t>
  </si>
  <si>
    <t>Costo de ventas</t>
  </si>
  <si>
    <t>Sistema Directo</t>
  </si>
  <si>
    <t>Ingresos por ventas</t>
  </si>
  <si>
    <t>Gasto de comercialización variables</t>
  </si>
  <si>
    <t>Contribución marginal</t>
  </si>
  <si>
    <t>Gastos fijos</t>
  </si>
  <si>
    <t>Gastos variables</t>
  </si>
  <si>
    <t>UN antes de intereses e impuestos</t>
  </si>
  <si>
    <t>Resultado</t>
  </si>
  <si>
    <t>Intereses</t>
  </si>
  <si>
    <t>UN antes de impuestos</t>
  </si>
  <si>
    <t>Impuesto a las ganancias</t>
  </si>
  <si>
    <t>Costo unitario de producción de inventario inicial</t>
  </si>
  <si>
    <t>Costo total de producción de inventario inicial</t>
  </si>
  <si>
    <t>Valor de inventario</t>
  </si>
  <si>
    <t>Sistema de valuación de stock</t>
  </si>
  <si>
    <t>Precio unitario de venta</t>
  </si>
  <si>
    <t>UN (Utilidad Neta) o Resultado Neto</t>
  </si>
  <si>
    <t>Valor Directo</t>
  </si>
  <si>
    <t>Materia prima inicial</t>
  </si>
  <si>
    <t>Materia prima adquirida</t>
  </si>
  <si>
    <t>Materia prima final</t>
  </si>
  <si>
    <t>Materia prima consumida</t>
  </si>
  <si>
    <t>Producto inicial</t>
  </si>
  <si>
    <t>Producto adquirido</t>
  </si>
  <si>
    <t>Producto final</t>
  </si>
  <si>
    <t>Costo de Materia Prima</t>
  </si>
  <si>
    <t>Costo de Mano de Obra Directa</t>
  </si>
  <si>
    <t>Contribución marginal unitaria</t>
  </si>
  <si>
    <t>Gastos de fabricación variables unitarios</t>
  </si>
  <si>
    <t>Gastos de comercialización variables unitarios</t>
  </si>
  <si>
    <t>Puntos</t>
  </si>
  <si>
    <t>Equilibrio económico (unidades)</t>
  </si>
  <si>
    <t>Equilibrio financiero (unidades)</t>
  </si>
  <si>
    <t>Equilibrio económico ($)</t>
  </si>
  <si>
    <t>Equilibrio financiero ($)</t>
  </si>
  <si>
    <t>Costo materia prima inicial</t>
  </si>
  <si>
    <t>Costo materia prima final</t>
  </si>
  <si>
    <t>Información de materia prima</t>
  </si>
  <si>
    <t>Información de producto</t>
  </si>
  <si>
    <t>Información de venta</t>
  </si>
  <si>
    <t>Ingresos por Ventas</t>
  </si>
  <si>
    <t>Información de gastos</t>
  </si>
  <si>
    <t>No aplica</t>
  </si>
  <si>
    <t>Costo unitario de fabricación</t>
  </si>
  <si>
    <t>Costo total de fabricación</t>
  </si>
  <si>
    <t>FIFO</t>
  </si>
  <si>
    <t>Una empresa que fabrica un único producto tiene la siguiente estructura de costos para producir y vender un máximo de 5.000 unidades al año, costo de materia prima 12.000.000 $/año, costo de mano de obra directa 5.200.000 $/año, gastos de fabricación variables 2.800.000$/año, gastos de fabricación fijos 10.000.000 $/año, gastos de comercialización variables 4.000.000 $/año, gastos de comercialización fijos 8.000.000$/año, gastos de administración y finanzas fijos 6.000.000 $/año, obteniendo utilidades después de impuestos por $10.400.000, tasa de impuesto a las ganancias 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</si>
</sst>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/>
    <xf numFmtId="164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9" fontId="0" fillId="0" borderId="1" xfId="0" applyNumberFormat="1" applyFill="1" applyBorder="1" applyAlignment="1">
      <alignment horizontal="right"/>
    </xf>
    <xf numFmtId="0" fontId="0" fillId="0" borderId="0" xfId="0" applyFill="1" applyBorder="1"/>
    <xf numFmtId="164" fontId="0" fillId="0" borderId="0" xfId="0" applyNumberFormat="1" applyFill="1" applyBorder="1"/>
    <xf numFmtId="164" fontId="0" fillId="0" borderId="0" xfId="0" applyNumberFormat="1" applyFill="1" applyBorder="1" applyAlignment="1"/>
    <xf numFmtId="164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1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vertical="center" wrapText="1"/>
    </xf>
    <xf numFmtId="9" fontId="0" fillId="0" borderId="1" xfId="0" applyNumberFormat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/>
    <xf numFmtId="1" fontId="1" fillId="5" borderId="1" xfId="0" applyNumberFormat="1" applyFont="1" applyFill="1" applyBorder="1" applyAlignment="1">
      <alignment horizontal="right"/>
    </xf>
    <xf numFmtId="165" fontId="1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C02E-8746-4BA6-8B59-B266B6DC44C6}">
  <dimension ref="A1"/>
  <sheetViews>
    <sheetView zoomScaleNormal="100" workbookViewId="0"/>
  </sheetViews>
  <sheetFormatPr baseColWidth="10" defaultRowHeight="15" x14ac:dyDescent="0.25"/>
  <cols>
    <col min="1" max="1" width="130.7109375" customWidth="1"/>
  </cols>
  <sheetData>
    <row r="1" spans="1:1" ht="75" x14ac:dyDescent="0.25">
      <c r="A1" s="2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topLeftCell="A14" workbookViewId="0">
      <selection activeCell="C16" sqref="C16"/>
    </sheetView>
  </sheetViews>
  <sheetFormatPr baseColWidth="10" defaultRowHeight="15" x14ac:dyDescent="0.25"/>
  <cols>
    <col min="1" max="1" width="45.140625" customWidth="1"/>
    <col min="2" max="2" width="14.140625" customWidth="1"/>
    <col min="3" max="4" width="15.140625" customWidth="1"/>
    <col min="5" max="5" width="14" customWidth="1"/>
    <col min="6" max="6" width="41.42578125" customWidth="1"/>
    <col min="7" max="7" width="14.7109375" customWidth="1"/>
    <col min="8" max="8" width="15" customWidth="1"/>
    <col min="9" max="9" width="14.5703125" customWidth="1"/>
  </cols>
  <sheetData>
    <row r="1" spans="1:9" x14ac:dyDescent="0.25">
      <c r="A1" s="4" t="s">
        <v>28</v>
      </c>
      <c r="B1" s="1" t="s">
        <v>59</v>
      </c>
      <c r="F1" s="20" t="s">
        <v>14</v>
      </c>
      <c r="G1" s="20"/>
      <c r="H1" s="20"/>
      <c r="I1" s="20"/>
    </row>
    <row r="2" spans="1:9" x14ac:dyDescent="0.25">
      <c r="A2" s="4" t="s">
        <v>0</v>
      </c>
      <c r="B2" s="22">
        <v>0.35</v>
      </c>
      <c r="F2" s="4" t="s">
        <v>12</v>
      </c>
      <c r="G2" s="4" t="s">
        <v>2</v>
      </c>
      <c r="H2" s="4" t="s">
        <v>1</v>
      </c>
      <c r="I2" s="4" t="s">
        <v>21</v>
      </c>
    </row>
    <row r="3" spans="1:9" x14ac:dyDescent="0.25">
      <c r="F3" s="6" t="s">
        <v>15</v>
      </c>
      <c r="G3" s="8">
        <f>G6+I5+I4</f>
        <v>64000000</v>
      </c>
      <c r="H3" s="8">
        <f>D25</f>
        <v>64000000</v>
      </c>
      <c r="I3" s="8">
        <f t="shared" ref="I3:I5" si="0">IF(G3&gt;0,G3,H3)</f>
        <v>64000000</v>
      </c>
    </row>
    <row r="4" spans="1:9" x14ac:dyDescent="0.25">
      <c r="A4" s="4" t="s">
        <v>51</v>
      </c>
      <c r="B4" s="4" t="s">
        <v>31</v>
      </c>
      <c r="C4" s="4" t="s">
        <v>1</v>
      </c>
      <c r="D4" s="4" t="s">
        <v>21</v>
      </c>
      <c r="F4" s="6" t="s">
        <v>13</v>
      </c>
      <c r="G4" s="8"/>
      <c r="H4" s="8">
        <f>I32</f>
        <v>20000000</v>
      </c>
      <c r="I4" s="8">
        <f>IF(G4&gt;0,G4,H4)</f>
        <v>20000000</v>
      </c>
    </row>
    <row r="5" spans="1:9" x14ac:dyDescent="0.25">
      <c r="A5" s="3" t="s">
        <v>32</v>
      </c>
      <c r="B5" s="9"/>
      <c r="C5" s="9">
        <v>0</v>
      </c>
      <c r="D5" s="9">
        <f t="shared" ref="D5:D7" si="1">IF(B5&gt;0,B5,C5)</f>
        <v>0</v>
      </c>
      <c r="F5" s="6" t="s">
        <v>16</v>
      </c>
      <c r="G5" s="8"/>
      <c r="H5" s="8">
        <f>I19</f>
        <v>4000000</v>
      </c>
      <c r="I5" s="8">
        <f t="shared" si="0"/>
        <v>4000000</v>
      </c>
    </row>
    <row r="6" spans="1:9" x14ac:dyDescent="0.25">
      <c r="A6" s="3" t="s">
        <v>33</v>
      </c>
      <c r="B6" s="9"/>
      <c r="C6" s="9">
        <v>0</v>
      </c>
      <c r="D6" s="9">
        <f t="shared" si="1"/>
        <v>0</v>
      </c>
      <c r="F6" s="6" t="s">
        <v>17</v>
      </c>
      <c r="G6" s="8">
        <f>G10+I8</f>
        <v>40000000</v>
      </c>
      <c r="H6" s="8">
        <f>IFERROR(I3-I4-I5,"No aplica")</f>
        <v>40000000</v>
      </c>
      <c r="I6" s="8">
        <f t="shared" ref="I6:I12" si="2">IF(G6&gt;0,G6,H6)</f>
        <v>40000000</v>
      </c>
    </row>
    <row r="7" spans="1:9" x14ac:dyDescent="0.25">
      <c r="A7" s="3" t="s">
        <v>34</v>
      </c>
      <c r="B7" s="9"/>
      <c r="C7" s="9">
        <v>0</v>
      </c>
      <c r="D7" s="9">
        <f t="shared" si="1"/>
        <v>0</v>
      </c>
      <c r="F7" s="23" t="s">
        <v>41</v>
      </c>
      <c r="G7" s="17"/>
      <c r="H7" s="17">
        <f>IFERROR(D24-I18-I21,"No aplica")</f>
        <v>8000</v>
      </c>
      <c r="I7" s="17">
        <f t="shared" si="2"/>
        <v>8000</v>
      </c>
    </row>
    <row r="8" spans="1:9" x14ac:dyDescent="0.25">
      <c r="A8" s="6" t="s">
        <v>35</v>
      </c>
      <c r="B8" s="9"/>
      <c r="C8" s="9">
        <f>IFERROR(D5+D6-D7,"No aplica")</f>
        <v>0</v>
      </c>
      <c r="D8" s="9">
        <f>IF(B8&gt;0,B8,C8)</f>
        <v>0</v>
      </c>
      <c r="F8" s="6" t="s">
        <v>18</v>
      </c>
      <c r="G8" s="8"/>
      <c r="H8" s="8">
        <f>I27</f>
        <v>24000000</v>
      </c>
      <c r="I8" s="8">
        <f t="shared" si="2"/>
        <v>24000000</v>
      </c>
    </row>
    <row r="9" spans="1:9" x14ac:dyDescent="0.25">
      <c r="A9" s="3" t="s">
        <v>49</v>
      </c>
      <c r="B9" s="14"/>
      <c r="C9" s="14">
        <v>0</v>
      </c>
      <c r="D9" s="14">
        <f>IF(B9&gt;0,B9,C9)</f>
        <v>0</v>
      </c>
      <c r="F9" s="6" t="s">
        <v>19</v>
      </c>
      <c r="G9" s="8"/>
      <c r="H9" s="8">
        <f>IFERROR(I26-I5-I22,"No aplica")</f>
        <v>0</v>
      </c>
      <c r="I9" s="8">
        <f t="shared" si="2"/>
        <v>0</v>
      </c>
    </row>
    <row r="10" spans="1:9" x14ac:dyDescent="0.25">
      <c r="A10" s="3" t="s">
        <v>50</v>
      </c>
      <c r="B10" s="14"/>
      <c r="C10" s="14">
        <v>0</v>
      </c>
      <c r="D10" s="14">
        <f>IF(B10&gt;0,B10,C10)</f>
        <v>0</v>
      </c>
      <c r="F10" s="6" t="s">
        <v>20</v>
      </c>
      <c r="G10" s="8">
        <f>G12+I11</f>
        <v>16000000</v>
      </c>
      <c r="H10" s="8">
        <f>IFERROR(I6-I8-I9,"No aplica")</f>
        <v>16000000</v>
      </c>
      <c r="I10" s="8">
        <f t="shared" si="2"/>
        <v>16000000</v>
      </c>
    </row>
    <row r="11" spans="1:9" x14ac:dyDescent="0.25">
      <c r="F11" s="6" t="s">
        <v>22</v>
      </c>
      <c r="G11" s="8"/>
      <c r="H11" s="8">
        <v>0</v>
      </c>
      <c r="I11" s="8">
        <f t="shared" si="2"/>
        <v>0</v>
      </c>
    </row>
    <row r="12" spans="1:9" x14ac:dyDescent="0.25">
      <c r="A12" s="4" t="s">
        <v>52</v>
      </c>
      <c r="B12" s="4" t="s">
        <v>31</v>
      </c>
      <c r="C12" s="4" t="s">
        <v>1</v>
      </c>
      <c r="D12" s="4" t="s">
        <v>21</v>
      </c>
      <c r="F12" s="6" t="s">
        <v>23</v>
      </c>
      <c r="G12" s="8">
        <f>G14/(1-I13)</f>
        <v>16000000</v>
      </c>
      <c r="H12" s="8">
        <f>IFERROR(I10-I11,"No aplica")</f>
        <v>16000000</v>
      </c>
      <c r="I12" s="8">
        <f t="shared" si="2"/>
        <v>16000000</v>
      </c>
    </row>
    <row r="13" spans="1:9" x14ac:dyDescent="0.25">
      <c r="A13" s="3" t="s">
        <v>36</v>
      </c>
      <c r="B13" s="9"/>
      <c r="C13" s="9">
        <v>0</v>
      </c>
      <c r="D13" s="9">
        <f t="shared" ref="D13:D20" si="3">IF(B13&gt;0,B13,C13)</f>
        <v>0</v>
      </c>
      <c r="F13" s="6" t="s">
        <v>24</v>
      </c>
      <c r="G13" s="10" t="s">
        <v>56</v>
      </c>
      <c r="H13" s="10" t="s">
        <v>56</v>
      </c>
      <c r="I13" s="10">
        <f>B2</f>
        <v>0.35</v>
      </c>
    </row>
    <row r="14" spans="1:9" x14ac:dyDescent="0.25">
      <c r="A14" s="3" t="s">
        <v>37</v>
      </c>
      <c r="B14" s="9">
        <v>5000</v>
      </c>
      <c r="C14" s="9">
        <v>0</v>
      </c>
      <c r="D14" s="9">
        <f t="shared" si="3"/>
        <v>5000</v>
      </c>
      <c r="F14" s="6" t="s">
        <v>30</v>
      </c>
      <c r="G14" s="8">
        <v>10400000</v>
      </c>
      <c r="H14" s="8" t="str">
        <f>IFERROR(I12-(I12*G13),"No aplica")</f>
        <v>No aplica</v>
      </c>
      <c r="I14" s="8">
        <f>IF(G14&gt;0,G14,H14)</f>
        <v>10400000</v>
      </c>
    </row>
    <row r="15" spans="1:9" x14ac:dyDescent="0.25">
      <c r="A15" s="3" t="s">
        <v>38</v>
      </c>
      <c r="B15" s="9"/>
      <c r="C15" s="9">
        <v>0</v>
      </c>
      <c r="D15" s="9">
        <f t="shared" si="3"/>
        <v>0</v>
      </c>
      <c r="F15" s="6" t="s">
        <v>27</v>
      </c>
      <c r="G15" s="8"/>
      <c r="H15" s="8">
        <f>IFERROR(IF(B1="FIFO",IF(D13&gt;D23,(D13-D23)*D17,(D16-(D23-D13))*D19),IF(B1="LIFO",IF(D16&gt;D23,(D16-D23)*D19,(D13-(D23-D16))*D17))),"No aplica")</f>
        <v>0</v>
      </c>
      <c r="I15" s="8">
        <f>IF(G15&gt;0,G15,H15)</f>
        <v>0</v>
      </c>
    </row>
    <row r="16" spans="1:9" x14ac:dyDescent="0.25">
      <c r="A16" s="3" t="s">
        <v>10</v>
      </c>
      <c r="B16" s="9">
        <v>5000</v>
      </c>
      <c r="C16" s="9">
        <v>0</v>
      </c>
      <c r="D16" s="9">
        <f t="shared" si="3"/>
        <v>5000</v>
      </c>
    </row>
    <row r="17" spans="1:9" x14ac:dyDescent="0.25">
      <c r="A17" s="7" t="s">
        <v>25</v>
      </c>
      <c r="B17" s="8"/>
      <c r="C17" s="8">
        <v>0</v>
      </c>
      <c r="D17" s="8">
        <f t="shared" si="3"/>
        <v>0</v>
      </c>
      <c r="F17" s="4" t="s">
        <v>55</v>
      </c>
      <c r="G17" s="4" t="s">
        <v>2</v>
      </c>
      <c r="H17" s="4" t="s">
        <v>1</v>
      </c>
      <c r="I17" s="4" t="s">
        <v>21</v>
      </c>
    </row>
    <row r="18" spans="1:9" x14ac:dyDescent="0.25">
      <c r="A18" s="7" t="s">
        <v>26</v>
      </c>
      <c r="B18" s="8"/>
      <c r="C18" s="16">
        <f>IFERROR(D17*D13,"No aplica")</f>
        <v>0</v>
      </c>
      <c r="D18" s="8">
        <f t="shared" si="3"/>
        <v>0</v>
      </c>
      <c r="F18" s="5" t="s">
        <v>43</v>
      </c>
      <c r="G18" s="14"/>
      <c r="H18" s="14">
        <f>IFERROR(I19/D23,"No aplica")</f>
        <v>800</v>
      </c>
      <c r="I18" s="14">
        <f t="shared" ref="I18:I27" si="4">IF(G18&gt;0,G18,H18)</f>
        <v>800</v>
      </c>
    </row>
    <row r="19" spans="1:9" x14ac:dyDescent="0.25">
      <c r="A19" s="6" t="s">
        <v>57</v>
      </c>
      <c r="B19" s="8"/>
      <c r="C19" s="8">
        <f>IFERROR((I30+I31+I22)/D16,"No aplica")</f>
        <v>4000</v>
      </c>
      <c r="D19" s="8">
        <f t="shared" si="3"/>
        <v>4000</v>
      </c>
      <c r="F19" s="5" t="s">
        <v>4</v>
      </c>
      <c r="G19" s="14">
        <v>4000000</v>
      </c>
      <c r="H19" s="14">
        <v>0</v>
      </c>
      <c r="I19" s="14">
        <f t="shared" si="4"/>
        <v>4000000</v>
      </c>
    </row>
    <row r="20" spans="1:9" x14ac:dyDescent="0.25">
      <c r="A20" s="7" t="s">
        <v>58</v>
      </c>
      <c r="B20" s="8"/>
      <c r="C20" s="16">
        <f>IFERROR(D19*D16,"No aplica")</f>
        <v>20000000</v>
      </c>
      <c r="D20" s="8">
        <f t="shared" si="3"/>
        <v>20000000</v>
      </c>
      <c r="F20" s="2" t="s">
        <v>5</v>
      </c>
      <c r="G20" s="14">
        <v>8000000</v>
      </c>
      <c r="H20" s="14">
        <v>0</v>
      </c>
      <c r="I20" s="14">
        <f t="shared" si="4"/>
        <v>8000000</v>
      </c>
    </row>
    <row r="21" spans="1:9" x14ac:dyDescent="0.25">
      <c r="F21" s="3" t="s">
        <v>42</v>
      </c>
      <c r="G21" s="14"/>
      <c r="H21" s="14">
        <f>D19</f>
        <v>4000</v>
      </c>
      <c r="I21" s="14">
        <f t="shared" si="4"/>
        <v>4000</v>
      </c>
    </row>
    <row r="22" spans="1:9" x14ac:dyDescent="0.25">
      <c r="A22" s="4" t="s">
        <v>53</v>
      </c>
      <c r="B22" s="4" t="s">
        <v>2</v>
      </c>
      <c r="C22" s="4" t="s">
        <v>1</v>
      </c>
      <c r="D22" s="4" t="s">
        <v>21</v>
      </c>
      <c r="F22" s="3" t="s">
        <v>7</v>
      </c>
      <c r="G22" s="14">
        <v>2800000</v>
      </c>
      <c r="H22" s="14">
        <v>0</v>
      </c>
      <c r="I22" s="14">
        <f t="shared" si="4"/>
        <v>2800000</v>
      </c>
    </row>
    <row r="23" spans="1:9" x14ac:dyDescent="0.25">
      <c r="A23" s="3" t="s">
        <v>11</v>
      </c>
      <c r="B23" s="9"/>
      <c r="C23" s="9">
        <f>IFERROR(D13+D14-D15,"No aplica")</f>
        <v>5000</v>
      </c>
      <c r="D23" s="9">
        <f>IF(B23&gt;0,B23,C23)</f>
        <v>5000</v>
      </c>
      <c r="F23" s="2" t="s">
        <v>6</v>
      </c>
      <c r="G23" s="14">
        <v>10000000</v>
      </c>
      <c r="H23" s="14">
        <v>0</v>
      </c>
      <c r="I23" s="14">
        <f t="shared" si="4"/>
        <v>10000000</v>
      </c>
    </row>
    <row r="24" spans="1:9" x14ac:dyDescent="0.25">
      <c r="A24" s="3" t="s">
        <v>29</v>
      </c>
      <c r="B24" s="14"/>
      <c r="C24" s="14">
        <f>D25/D23</f>
        <v>12800</v>
      </c>
      <c r="D24" s="14">
        <f>IF(B24&gt;0,B24,C24)</f>
        <v>12800</v>
      </c>
      <c r="F24" s="2" t="s">
        <v>8</v>
      </c>
      <c r="G24" s="14"/>
      <c r="H24" s="14">
        <v>0</v>
      </c>
      <c r="I24" s="14">
        <f t="shared" si="4"/>
        <v>0</v>
      </c>
    </row>
    <row r="25" spans="1:9" x14ac:dyDescent="0.25">
      <c r="A25" s="2" t="s">
        <v>54</v>
      </c>
      <c r="B25" s="14">
        <v>64000000</v>
      </c>
      <c r="C25" s="14">
        <f>IFERROR(D24*D23,"No aplica")</f>
        <v>64000000</v>
      </c>
      <c r="D25" s="14">
        <f>IF(B25&gt;0,B25,C25)</f>
        <v>64000000</v>
      </c>
      <c r="F25" s="2" t="s">
        <v>9</v>
      </c>
      <c r="G25" s="14">
        <v>6000000</v>
      </c>
      <c r="H25" s="14">
        <v>0</v>
      </c>
      <c r="I25" s="14">
        <f t="shared" si="4"/>
        <v>6000000</v>
      </c>
    </row>
    <row r="26" spans="1:9" x14ac:dyDescent="0.25">
      <c r="F26" s="15" t="s">
        <v>19</v>
      </c>
      <c r="G26" s="17"/>
      <c r="H26" s="17">
        <f>IFERROR(I19+I22+I24,"No aplica")</f>
        <v>6800000</v>
      </c>
      <c r="I26" s="17">
        <f t="shared" si="4"/>
        <v>6800000</v>
      </c>
    </row>
    <row r="27" spans="1:9" x14ac:dyDescent="0.25">
      <c r="A27" s="4" t="s">
        <v>44</v>
      </c>
      <c r="B27" s="4" t="s">
        <v>31</v>
      </c>
      <c r="C27" s="4" t="s">
        <v>1</v>
      </c>
      <c r="D27" s="4" t="s">
        <v>21</v>
      </c>
      <c r="F27" s="15" t="s">
        <v>18</v>
      </c>
      <c r="G27" s="17"/>
      <c r="H27" s="17">
        <f>IFERROR(I20+I23+I25,"No aplica")</f>
        <v>24000000</v>
      </c>
      <c r="I27" s="17">
        <f t="shared" si="4"/>
        <v>24000000</v>
      </c>
    </row>
    <row r="28" spans="1:9" x14ac:dyDescent="0.25">
      <c r="A28" s="24" t="s">
        <v>45</v>
      </c>
      <c r="B28" s="25"/>
      <c r="C28" s="25">
        <f>IFERROR(I27/I7,"No aplica")</f>
        <v>3000</v>
      </c>
      <c r="D28" s="25">
        <f>IF(B28&gt;0,B28,C28)</f>
        <v>3000</v>
      </c>
      <c r="F28" s="11"/>
      <c r="G28" s="12"/>
      <c r="H28" s="12"/>
      <c r="I28" s="13"/>
    </row>
    <row r="29" spans="1:9" x14ac:dyDescent="0.25">
      <c r="A29" s="24" t="s">
        <v>47</v>
      </c>
      <c r="B29" s="26"/>
      <c r="C29" s="26">
        <f>IFERROR(D28*D24,"No aplica")</f>
        <v>38400000</v>
      </c>
      <c r="D29" s="26">
        <f>IF(B29&gt;0,B29,C29)</f>
        <v>38400000</v>
      </c>
      <c r="F29" s="4" t="s">
        <v>3</v>
      </c>
      <c r="G29" s="4" t="s">
        <v>2</v>
      </c>
      <c r="H29" s="4" t="s">
        <v>1</v>
      </c>
      <c r="I29" s="4" t="s">
        <v>21</v>
      </c>
    </row>
    <row r="30" spans="1:9" x14ac:dyDescent="0.25">
      <c r="A30" s="6" t="s">
        <v>46</v>
      </c>
      <c r="B30" s="18"/>
      <c r="C30" s="18">
        <v>0</v>
      </c>
      <c r="D30" s="18">
        <f>IF(B30&gt;0,B30,C30)</f>
        <v>0</v>
      </c>
      <c r="F30" s="7" t="s">
        <v>39</v>
      </c>
      <c r="G30" s="8">
        <v>12000000</v>
      </c>
      <c r="H30" s="8">
        <f>IFERROR(IF(B1="FIFO",IF(D5&gt;D8,D8*D9,(D9*D5)+((D8-D5)*D10)),IF(B1="LIFO",IF(D6&gt;D8,D8*D10,(D10*D6)+((D8-D6)*D9)))),"No aplica")</f>
        <v>0</v>
      </c>
      <c r="I30" s="8">
        <f>IF(G30&gt;0,G30,H30)</f>
        <v>12000000</v>
      </c>
    </row>
    <row r="31" spans="1:9" x14ac:dyDescent="0.25">
      <c r="A31" s="6" t="s">
        <v>48</v>
      </c>
      <c r="B31" s="19"/>
      <c r="C31" s="19">
        <f>IFERROR(D30*B24,"No aplica")</f>
        <v>0</v>
      </c>
      <c r="D31" s="19">
        <f>IF(B31&gt;0,B31,C31)</f>
        <v>0</v>
      </c>
      <c r="F31" s="7" t="s">
        <v>40</v>
      </c>
      <c r="G31" s="8">
        <v>5200000</v>
      </c>
      <c r="H31" s="8">
        <v>0</v>
      </c>
      <c r="I31" s="8">
        <f>IF(G31&gt;0,G31,H31)</f>
        <v>5200000</v>
      </c>
    </row>
    <row r="32" spans="1:9" x14ac:dyDescent="0.25">
      <c r="F32" s="7" t="s">
        <v>13</v>
      </c>
      <c r="G32" s="8"/>
      <c r="H32" s="8">
        <f>IFERROR(IF(B1="FIFO",IF(D13&gt;D23,D23*D17,D18+((D23-D13)*D19)),IF(B1="LIFO",IF(D16&gt;D23,D23*D19,D20+((D23-B16)*D17)))),"No aplica")</f>
        <v>20000000</v>
      </c>
      <c r="I32" s="8">
        <f>IF(G32&gt;0,G32,H32)</f>
        <v>20000000</v>
      </c>
    </row>
  </sheetData>
  <mergeCells count="1">
    <mergeCell ref="F1:I1"/>
  </mergeCells>
  <dataValidations count="1">
    <dataValidation type="list" allowBlank="1" showInputMessage="1" showErrorMessage="1" sqref="B1" xr:uid="{BE28B539-E171-4649-8C7C-F290EA6F59DB}">
      <formula1>"FIFO,LIFO,PPP"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03FD-B420-4505-8F83-EC1DF5E38160}">
  <dimension ref="A1:I32"/>
  <sheetViews>
    <sheetView tabSelected="1" workbookViewId="0">
      <selection activeCell="C13" sqref="C13"/>
    </sheetView>
  </sheetViews>
  <sheetFormatPr baseColWidth="10" defaultRowHeight="15" x14ac:dyDescent="0.25"/>
  <cols>
    <col min="1" max="1" width="45.140625" customWidth="1"/>
    <col min="2" max="2" width="14.140625" customWidth="1"/>
    <col min="3" max="4" width="15.140625" customWidth="1"/>
    <col min="5" max="5" width="14" customWidth="1"/>
    <col min="6" max="6" width="41.42578125" customWidth="1"/>
    <col min="7" max="7" width="14.7109375" customWidth="1"/>
    <col min="8" max="8" width="15" customWidth="1"/>
    <col min="9" max="9" width="14.5703125" customWidth="1"/>
  </cols>
  <sheetData>
    <row r="1" spans="1:9" x14ac:dyDescent="0.25">
      <c r="A1" s="4" t="s">
        <v>28</v>
      </c>
      <c r="B1" s="1" t="s">
        <v>59</v>
      </c>
      <c r="F1" s="20" t="s">
        <v>14</v>
      </c>
      <c r="G1" s="20"/>
      <c r="H1" s="20"/>
      <c r="I1" s="20"/>
    </row>
    <row r="2" spans="1:9" x14ac:dyDescent="0.25">
      <c r="A2" s="4" t="s">
        <v>0</v>
      </c>
      <c r="B2" s="22">
        <v>0.35</v>
      </c>
      <c r="F2" s="4" t="s">
        <v>12</v>
      </c>
      <c r="G2" s="4" t="s">
        <v>2</v>
      </c>
      <c r="H2" s="4" t="s">
        <v>1</v>
      </c>
      <c r="I2" s="4" t="s">
        <v>21</v>
      </c>
    </row>
    <row r="3" spans="1:9" x14ac:dyDescent="0.25">
      <c r="F3" s="6" t="s">
        <v>15</v>
      </c>
      <c r="G3" s="8">
        <f>G6+I5+I4</f>
        <v>56000000</v>
      </c>
      <c r="H3" s="8">
        <f>D25</f>
        <v>64000000</v>
      </c>
      <c r="I3" s="8">
        <f t="shared" ref="I3:I12" si="0">IF(G3&gt;0,G3,H3)</f>
        <v>56000000</v>
      </c>
    </row>
    <row r="4" spans="1:9" x14ac:dyDescent="0.25">
      <c r="A4" s="4" t="s">
        <v>51</v>
      </c>
      <c r="B4" s="4" t="s">
        <v>31</v>
      </c>
      <c r="C4" s="4" t="s">
        <v>1</v>
      </c>
      <c r="D4" s="4" t="s">
        <v>21</v>
      </c>
      <c r="F4" s="6" t="s">
        <v>13</v>
      </c>
      <c r="G4" s="8"/>
      <c r="H4" s="8">
        <f>I32</f>
        <v>17000000</v>
      </c>
      <c r="I4" s="8">
        <f>IF(G4&gt;0,G4,H4)</f>
        <v>17000000</v>
      </c>
    </row>
    <row r="5" spans="1:9" x14ac:dyDescent="0.25">
      <c r="A5" s="3" t="s">
        <v>32</v>
      </c>
      <c r="B5" s="9"/>
      <c r="C5" s="9">
        <v>0</v>
      </c>
      <c r="D5" s="9">
        <f t="shared" ref="D5:D7" si="1">IF(B5&gt;0,B5,C5)</f>
        <v>0</v>
      </c>
      <c r="F5" s="6" t="s">
        <v>16</v>
      </c>
      <c r="G5" s="8"/>
      <c r="H5" s="8">
        <f>I19</f>
        <v>4000000</v>
      </c>
      <c r="I5" s="8">
        <f t="shared" si="0"/>
        <v>4000000</v>
      </c>
    </row>
    <row r="6" spans="1:9" x14ac:dyDescent="0.25">
      <c r="A6" s="3" t="s">
        <v>33</v>
      </c>
      <c r="B6" s="9"/>
      <c r="C6" s="9">
        <v>0</v>
      </c>
      <c r="D6" s="9">
        <f t="shared" si="1"/>
        <v>0</v>
      </c>
      <c r="F6" s="6" t="s">
        <v>17</v>
      </c>
      <c r="G6" s="8">
        <f>G10+I8</f>
        <v>35000000</v>
      </c>
      <c r="H6" s="8">
        <f>IFERROR(I3-I4-I5,"No aplica")</f>
        <v>35000000</v>
      </c>
      <c r="I6" s="8">
        <f t="shared" si="0"/>
        <v>35000000</v>
      </c>
    </row>
    <row r="7" spans="1:9" x14ac:dyDescent="0.25">
      <c r="A7" s="3" t="s">
        <v>34</v>
      </c>
      <c r="B7" s="9"/>
      <c r="C7" s="9">
        <v>0</v>
      </c>
      <c r="D7" s="9">
        <f t="shared" si="1"/>
        <v>0</v>
      </c>
      <c r="F7" s="23" t="s">
        <v>41</v>
      </c>
      <c r="G7" s="17"/>
      <c r="H7" s="17">
        <f>IFERROR(D24-I18-I21,"No aplica")</f>
        <v>8600</v>
      </c>
      <c r="I7" s="17">
        <f t="shared" si="0"/>
        <v>8600</v>
      </c>
    </row>
    <row r="8" spans="1:9" x14ac:dyDescent="0.25">
      <c r="A8" s="6" t="s">
        <v>35</v>
      </c>
      <c r="B8" s="9"/>
      <c r="C8" s="9">
        <f>IFERROR(D5+D6-D7,"No aplica")</f>
        <v>0</v>
      </c>
      <c r="D8" s="9">
        <f>IF(B8&gt;0,B8,C8)</f>
        <v>0</v>
      </c>
      <c r="F8" s="6" t="s">
        <v>18</v>
      </c>
      <c r="G8" s="8"/>
      <c r="H8" s="8">
        <f>I27</f>
        <v>19000000</v>
      </c>
      <c r="I8" s="8">
        <f t="shared" si="0"/>
        <v>19000000</v>
      </c>
    </row>
    <row r="9" spans="1:9" x14ac:dyDescent="0.25">
      <c r="A9" s="3" t="s">
        <v>49</v>
      </c>
      <c r="B9" s="14"/>
      <c r="C9" s="14">
        <v>0</v>
      </c>
      <c r="D9" s="14">
        <f>IF(B9&gt;0,B9,C9)</f>
        <v>0</v>
      </c>
      <c r="F9" s="6" t="s">
        <v>19</v>
      </c>
      <c r="G9" s="8"/>
      <c r="H9" s="8">
        <f>IFERROR(I26-I5-I22,"No aplica")</f>
        <v>0</v>
      </c>
      <c r="I9" s="8">
        <f t="shared" si="0"/>
        <v>0</v>
      </c>
    </row>
    <row r="10" spans="1:9" x14ac:dyDescent="0.25">
      <c r="A10" s="3" t="s">
        <v>50</v>
      </c>
      <c r="B10" s="14"/>
      <c r="C10" s="14">
        <v>0</v>
      </c>
      <c r="D10" s="14">
        <f>IF(B10&gt;0,B10,C10)</f>
        <v>0</v>
      </c>
      <c r="F10" s="6" t="s">
        <v>20</v>
      </c>
      <c r="G10" s="8">
        <f>G12+I11</f>
        <v>16000000</v>
      </c>
      <c r="H10" s="8">
        <f>IFERROR(I6-I8-I9,"No aplica")</f>
        <v>16000000</v>
      </c>
      <c r="I10" s="8">
        <f t="shared" si="0"/>
        <v>16000000</v>
      </c>
    </row>
    <row r="11" spans="1:9" x14ac:dyDescent="0.25">
      <c r="F11" s="6" t="s">
        <v>22</v>
      </c>
      <c r="G11" s="8"/>
      <c r="H11" s="8">
        <v>0</v>
      </c>
      <c r="I11" s="8">
        <f t="shared" si="0"/>
        <v>0</v>
      </c>
    </row>
    <row r="12" spans="1:9" x14ac:dyDescent="0.25">
      <c r="A12" s="4" t="s">
        <v>52</v>
      </c>
      <c r="B12" s="4" t="s">
        <v>31</v>
      </c>
      <c r="C12" s="4" t="s">
        <v>1</v>
      </c>
      <c r="D12" s="4" t="s">
        <v>21</v>
      </c>
      <c r="F12" s="6" t="s">
        <v>23</v>
      </c>
      <c r="G12" s="8">
        <f>G14/(1-I13)</f>
        <v>16000000</v>
      </c>
      <c r="H12" s="8">
        <f>IFERROR(I10-I11,"No aplica")</f>
        <v>16000000</v>
      </c>
      <c r="I12" s="8">
        <f t="shared" si="0"/>
        <v>16000000</v>
      </c>
    </row>
    <row r="13" spans="1:9" x14ac:dyDescent="0.25">
      <c r="A13" s="3" t="s">
        <v>36</v>
      </c>
      <c r="B13" s="9"/>
      <c r="C13" s="9">
        <v>0</v>
      </c>
      <c r="D13" s="9">
        <f t="shared" ref="D13:D20" si="2">IF(B13&gt;0,B13,C13)</f>
        <v>0</v>
      </c>
      <c r="F13" s="6" t="s">
        <v>24</v>
      </c>
      <c r="G13" s="10" t="s">
        <v>56</v>
      </c>
      <c r="H13" s="10" t="s">
        <v>56</v>
      </c>
      <c r="I13" s="10">
        <f>B2</f>
        <v>0.35</v>
      </c>
    </row>
    <row r="14" spans="1:9" x14ac:dyDescent="0.25">
      <c r="A14" s="3" t="s">
        <v>37</v>
      </c>
      <c r="B14" s="9">
        <v>5000</v>
      </c>
      <c r="C14" s="9">
        <v>0</v>
      </c>
      <c r="D14" s="9">
        <f t="shared" si="2"/>
        <v>5000</v>
      </c>
      <c r="F14" s="6" t="s">
        <v>30</v>
      </c>
      <c r="G14" s="8">
        <v>10400000</v>
      </c>
      <c r="H14" s="8" t="str">
        <f>IFERROR(I12-(I12*G13),"No aplica")</f>
        <v>No aplica</v>
      </c>
      <c r="I14" s="8">
        <f>IF(G14&gt;0,G14,H14)</f>
        <v>10400000</v>
      </c>
    </row>
    <row r="15" spans="1:9" x14ac:dyDescent="0.25">
      <c r="A15" s="3" t="s">
        <v>38</v>
      </c>
      <c r="B15" s="9"/>
      <c r="C15" s="9">
        <v>0</v>
      </c>
      <c r="D15" s="9">
        <f t="shared" si="2"/>
        <v>0</v>
      </c>
      <c r="F15" s="6" t="s">
        <v>27</v>
      </c>
      <c r="G15" s="8"/>
      <c r="H15" s="8">
        <f>IFERROR(IF(B1="FIFO",IF(D13&gt;D23,(D13-D23)*D17,(D16-(D23-D13))*D19),IF(B1="LIFO",IF(D16&gt;D23,(D16-D23)*D19,(D13-(D23-D16))*D17))),"No aplica")</f>
        <v>0</v>
      </c>
      <c r="I15" s="8">
        <f>IF(G15&gt;0,G15,H15)</f>
        <v>0</v>
      </c>
    </row>
    <row r="16" spans="1:9" x14ac:dyDescent="0.25">
      <c r="A16" s="3" t="s">
        <v>10</v>
      </c>
      <c r="B16" s="9">
        <v>5000</v>
      </c>
      <c r="C16" s="9">
        <v>0</v>
      </c>
      <c r="D16" s="9">
        <f t="shared" si="2"/>
        <v>5000</v>
      </c>
    </row>
    <row r="17" spans="1:9" x14ac:dyDescent="0.25">
      <c r="A17" s="7" t="s">
        <v>25</v>
      </c>
      <c r="B17" s="8"/>
      <c r="C17" s="8">
        <v>0</v>
      </c>
      <c r="D17" s="8">
        <f t="shared" si="2"/>
        <v>0</v>
      </c>
      <c r="F17" s="4" t="s">
        <v>55</v>
      </c>
      <c r="G17" s="4" t="s">
        <v>2</v>
      </c>
      <c r="H17" s="4" t="s">
        <v>1</v>
      </c>
      <c r="I17" s="4" t="s">
        <v>21</v>
      </c>
    </row>
    <row r="18" spans="1:9" x14ac:dyDescent="0.25">
      <c r="A18" s="7" t="s">
        <v>26</v>
      </c>
      <c r="B18" s="8"/>
      <c r="C18" s="16">
        <f>IFERROR(D17*D13,"No aplica")</f>
        <v>0</v>
      </c>
      <c r="D18" s="8">
        <f t="shared" si="2"/>
        <v>0</v>
      </c>
      <c r="F18" s="5" t="s">
        <v>43</v>
      </c>
      <c r="G18" s="14"/>
      <c r="H18" s="14">
        <f>IFERROR(I19/D23,"No aplica")</f>
        <v>800</v>
      </c>
      <c r="I18" s="14">
        <f t="shared" ref="I18:I27" si="3">IF(G18&gt;0,G18,H18)</f>
        <v>800</v>
      </c>
    </row>
    <row r="19" spans="1:9" x14ac:dyDescent="0.25">
      <c r="A19" s="6" t="s">
        <v>57</v>
      </c>
      <c r="B19" s="8"/>
      <c r="C19" s="8">
        <f>IFERROR((I30+I31+I22)/D16,"No aplica")</f>
        <v>3400</v>
      </c>
      <c r="D19" s="8">
        <f t="shared" si="2"/>
        <v>3400</v>
      </c>
      <c r="F19" s="5" t="s">
        <v>4</v>
      </c>
      <c r="G19" s="14">
        <v>4000000</v>
      </c>
      <c r="H19" s="14">
        <v>0</v>
      </c>
      <c r="I19" s="14">
        <f t="shared" si="3"/>
        <v>4000000</v>
      </c>
    </row>
    <row r="20" spans="1:9" x14ac:dyDescent="0.25">
      <c r="A20" s="7" t="s">
        <v>58</v>
      </c>
      <c r="B20" s="8"/>
      <c r="C20" s="16">
        <f>IFERROR(D19*D16,"No aplica")</f>
        <v>17000000</v>
      </c>
      <c r="D20" s="8">
        <f t="shared" si="2"/>
        <v>17000000</v>
      </c>
      <c r="F20" s="2" t="s">
        <v>5</v>
      </c>
      <c r="G20" s="14">
        <v>8000000</v>
      </c>
      <c r="H20" s="14">
        <v>0</v>
      </c>
      <c r="I20" s="14">
        <f t="shared" si="3"/>
        <v>8000000</v>
      </c>
    </row>
    <row r="21" spans="1:9" x14ac:dyDescent="0.25">
      <c r="F21" s="3" t="s">
        <v>42</v>
      </c>
      <c r="G21" s="14"/>
      <c r="H21" s="14">
        <f>D19</f>
        <v>3400</v>
      </c>
      <c r="I21" s="14">
        <f t="shared" si="3"/>
        <v>3400</v>
      </c>
    </row>
    <row r="22" spans="1:9" x14ac:dyDescent="0.25">
      <c r="A22" s="4" t="s">
        <v>53</v>
      </c>
      <c r="B22" s="4" t="s">
        <v>2</v>
      </c>
      <c r="C22" s="4" t="s">
        <v>1</v>
      </c>
      <c r="D22" s="4" t="s">
        <v>21</v>
      </c>
      <c r="F22" s="3" t="s">
        <v>7</v>
      </c>
      <c r="G22" s="14">
        <v>2800000</v>
      </c>
      <c r="H22" s="14">
        <v>0</v>
      </c>
      <c r="I22" s="14">
        <f t="shared" si="3"/>
        <v>2800000</v>
      </c>
    </row>
    <row r="23" spans="1:9" x14ac:dyDescent="0.25">
      <c r="A23" s="3" t="s">
        <v>11</v>
      </c>
      <c r="B23" s="9"/>
      <c r="C23" s="9">
        <f>IFERROR(D13+D14-D15,"No aplica")</f>
        <v>5000</v>
      </c>
      <c r="D23" s="9">
        <f>IF(B23&gt;0,B23,C23)</f>
        <v>5000</v>
      </c>
      <c r="F23" s="2" t="s">
        <v>6</v>
      </c>
      <c r="G23" s="14">
        <f>10000000*50%</f>
        <v>5000000</v>
      </c>
      <c r="H23" s="14">
        <v>0</v>
      </c>
      <c r="I23" s="14">
        <f t="shared" si="3"/>
        <v>5000000</v>
      </c>
    </row>
    <row r="24" spans="1:9" x14ac:dyDescent="0.25">
      <c r="A24" s="3" t="s">
        <v>29</v>
      </c>
      <c r="B24" s="14"/>
      <c r="C24" s="14">
        <f>D25/D23</f>
        <v>12800</v>
      </c>
      <c r="D24" s="14">
        <f>IF(B24&gt;0,B24,C24)</f>
        <v>12800</v>
      </c>
      <c r="F24" s="2" t="s">
        <v>8</v>
      </c>
      <c r="G24" s="14"/>
      <c r="H24" s="14">
        <v>0</v>
      </c>
      <c r="I24" s="14">
        <f t="shared" si="3"/>
        <v>0</v>
      </c>
    </row>
    <row r="25" spans="1:9" x14ac:dyDescent="0.25">
      <c r="A25" s="2" t="s">
        <v>54</v>
      </c>
      <c r="B25" s="14">
        <v>64000000</v>
      </c>
      <c r="C25" s="14">
        <f>IFERROR(D24*D23,"No aplica")</f>
        <v>64000000</v>
      </c>
      <c r="D25" s="14">
        <f>IF(B25&gt;0,B25,C25)</f>
        <v>64000000</v>
      </c>
      <c r="F25" s="2" t="s">
        <v>9</v>
      </c>
      <c r="G25" s="14">
        <v>6000000</v>
      </c>
      <c r="H25" s="14">
        <v>0</v>
      </c>
      <c r="I25" s="14">
        <f t="shared" si="3"/>
        <v>6000000</v>
      </c>
    </row>
    <row r="26" spans="1:9" x14ac:dyDescent="0.25">
      <c r="F26" s="15" t="s">
        <v>19</v>
      </c>
      <c r="G26" s="17"/>
      <c r="H26" s="17">
        <f>IFERROR(I19+I22+I24,"No aplica")</f>
        <v>6800000</v>
      </c>
      <c r="I26" s="17">
        <f t="shared" si="3"/>
        <v>6800000</v>
      </c>
    </row>
    <row r="27" spans="1:9" x14ac:dyDescent="0.25">
      <c r="A27" s="4" t="s">
        <v>44</v>
      </c>
      <c r="B27" s="4" t="s">
        <v>31</v>
      </c>
      <c r="C27" s="4" t="s">
        <v>1</v>
      </c>
      <c r="D27" s="4" t="s">
        <v>21</v>
      </c>
      <c r="F27" s="15" t="s">
        <v>18</v>
      </c>
      <c r="G27" s="17"/>
      <c r="H27" s="17">
        <f>IFERROR(I20+I23+I25,"No aplica")</f>
        <v>19000000</v>
      </c>
      <c r="I27" s="17">
        <f t="shared" si="3"/>
        <v>19000000</v>
      </c>
    </row>
    <row r="28" spans="1:9" x14ac:dyDescent="0.25">
      <c r="A28" s="24" t="s">
        <v>45</v>
      </c>
      <c r="B28" s="25"/>
      <c r="C28" s="25">
        <f>IFERROR(I27/I7,"No aplica")</f>
        <v>2209.3023255813955</v>
      </c>
      <c r="D28" s="25">
        <f>IF(B28&gt;0,B28,C28)</f>
        <v>2209.3023255813955</v>
      </c>
      <c r="F28" s="11"/>
      <c r="G28" s="12"/>
      <c r="H28" s="12"/>
      <c r="I28" s="13"/>
    </row>
    <row r="29" spans="1:9" x14ac:dyDescent="0.25">
      <c r="A29" s="24" t="s">
        <v>47</v>
      </c>
      <c r="B29" s="26"/>
      <c r="C29" s="26">
        <f>IFERROR(D28*D24,"No aplica")</f>
        <v>28279069.767441861</v>
      </c>
      <c r="D29" s="26">
        <f>IF(B29&gt;0,B29,C29)</f>
        <v>28279069.767441861</v>
      </c>
      <c r="F29" s="4" t="s">
        <v>3</v>
      </c>
      <c r="G29" s="4" t="s">
        <v>2</v>
      </c>
      <c r="H29" s="4" t="s">
        <v>1</v>
      </c>
      <c r="I29" s="4" t="s">
        <v>21</v>
      </c>
    </row>
    <row r="30" spans="1:9" x14ac:dyDescent="0.25">
      <c r="A30" s="6" t="s">
        <v>46</v>
      </c>
      <c r="B30" s="18"/>
      <c r="C30" s="18">
        <f>IFERROR(I27/I7,"No aplica")</f>
        <v>2209.3023255813955</v>
      </c>
      <c r="D30" s="18">
        <f>IF(B30&gt;0,B30,C30)</f>
        <v>2209.3023255813955</v>
      </c>
      <c r="F30" s="7" t="s">
        <v>39</v>
      </c>
      <c r="G30" s="8">
        <f>12000000*75%</f>
        <v>9000000</v>
      </c>
      <c r="H30" s="8">
        <f>IFERROR(IF(B1="FIFO",IF(D5&gt;D8,D8*D9,(D9*D5)+((D8-D5)*D10)),IF(B1="LIFO",IF(D6&gt;D8,D8*D10,(D10*D6)+((D8-D6)*D9)))),"No aplica")</f>
        <v>0</v>
      </c>
      <c r="I30" s="8">
        <f>IF(G30&gt;0,G30,H30)</f>
        <v>9000000</v>
      </c>
    </row>
    <row r="31" spans="1:9" x14ac:dyDescent="0.25">
      <c r="A31" s="6" t="s">
        <v>48</v>
      </c>
      <c r="B31" s="19"/>
      <c r="C31" s="19">
        <f>IFERROR(D28*D24,"No aplica")</f>
        <v>28279069.767441861</v>
      </c>
      <c r="D31" s="19">
        <f>IF(B31&gt;0,B31,C31)</f>
        <v>28279069.767441861</v>
      </c>
      <c r="F31" s="7" t="s">
        <v>40</v>
      </c>
      <c r="G31" s="8">
        <v>5200000</v>
      </c>
      <c r="H31" s="8">
        <v>0</v>
      </c>
      <c r="I31" s="8">
        <f>IF(G31&gt;0,G31,H31)</f>
        <v>5200000</v>
      </c>
    </row>
    <row r="32" spans="1:9" x14ac:dyDescent="0.25">
      <c r="F32" s="7" t="s">
        <v>13</v>
      </c>
      <c r="G32" s="8"/>
      <c r="H32" s="8">
        <f>IFERROR(IF(B1="FIFO",IF(D13&gt;D23,D23*D17,D18+((D23-D13)*D19)),IF(B1="LIFO",IF(D16&gt;D23,D23*D19,D20+((D23-B16)*D17)))),"No aplica")</f>
        <v>17000000</v>
      </c>
      <c r="I32" s="8">
        <f>IF(G32&gt;0,G32,H32)</f>
        <v>17000000</v>
      </c>
    </row>
  </sheetData>
  <mergeCells count="1">
    <mergeCell ref="F1:I1"/>
  </mergeCells>
  <dataValidations count="1">
    <dataValidation type="list" allowBlank="1" showInputMessage="1" showErrorMessage="1" sqref="B1" xr:uid="{EA0EA238-AFEE-416E-B2A1-C00DFDF514B4}">
      <formula1>"FIFO,LIFO,PPP"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Consigna</vt:lpstr>
      <vt:lpstr>Punto 1</vt:lpstr>
      <vt:lpstr>Punto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Ariel Tamborini Criscueli</dc:creator>
  <cp:lastModifiedBy>Agustin Ariel Tamborini Criscueli</cp:lastModifiedBy>
  <dcterms:created xsi:type="dcterms:W3CDTF">2015-06-05T18:19:34Z</dcterms:created>
  <dcterms:modified xsi:type="dcterms:W3CDTF">2021-08-03T23:49:37Z</dcterms:modified>
</cp:coreProperties>
</file>