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gus\Documents\UTN\3er Año\Economía\Práctica de Parcial\Costos - Sistemas de costeo\"/>
    </mc:Choice>
  </mc:AlternateContent>
  <xr:revisionPtr revIDLastSave="0" documentId="13_ncr:1_{EFB378CC-17CB-46AA-9AC7-AD32C68C4F3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signa" sheetId="6" r:id="rId1"/>
    <sheet name="Cuentas y Costos" sheetId="1" r:id="rId2"/>
    <sheet name="Sistemas de costeo" sheetId="3" r:id="rId3"/>
    <sheet name="Tablero de comando" sheetId="2" r:id="rId4"/>
    <sheet name="Proyectos de inversión" sheetId="4" r:id="rId5"/>
    <sheet name="Amortizacion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3" l="1"/>
  <c r="G10" i="3"/>
  <c r="G9" i="3"/>
  <c r="I13" i="1"/>
  <c r="J13" i="1" s="1"/>
  <c r="D24" i="3"/>
  <c r="D25" i="3"/>
  <c r="D28" i="3"/>
  <c r="D27" i="3"/>
  <c r="D26" i="3"/>
  <c r="D23" i="3"/>
  <c r="D22" i="3"/>
  <c r="D21" i="3"/>
  <c r="C38" i="1" s="1"/>
  <c r="J14" i="1"/>
  <c r="F14" i="3"/>
  <c r="B15" i="3"/>
  <c r="J33" i="6"/>
  <c r="I33" i="6"/>
  <c r="J32" i="6"/>
  <c r="J31" i="6"/>
  <c r="J30" i="6"/>
  <c r="B22" i="6"/>
  <c r="J21" i="6"/>
  <c r="J22" i="6"/>
  <c r="J23" i="6"/>
  <c r="I24" i="6"/>
  <c r="J24" i="6"/>
  <c r="I25" i="6"/>
  <c r="J25" i="6"/>
  <c r="C36" i="1" l="1"/>
  <c r="D36" i="1" s="1"/>
  <c r="C19" i="1" s="1"/>
  <c r="D6" i="1"/>
  <c r="D15" i="1"/>
  <c r="D14" i="1"/>
  <c r="D12" i="1"/>
  <c r="D11" i="1"/>
  <c r="D13" i="1"/>
  <c r="D10" i="1"/>
  <c r="D9" i="1"/>
  <c r="D8" i="1"/>
  <c r="D7" i="1"/>
  <c r="D21" i="1"/>
  <c r="D22" i="1"/>
  <c r="I29" i="1" s="1"/>
  <c r="J29" i="1" s="1"/>
  <c r="C17" i="3" l="1"/>
  <c r="C17" i="1"/>
  <c r="D17" i="1" s="1"/>
  <c r="I26" i="1"/>
  <c r="J26" i="1" s="1"/>
  <c r="C16" i="1"/>
  <c r="D16" i="1" s="1"/>
  <c r="I24" i="1" s="1"/>
  <c r="J24" i="1" s="1"/>
  <c r="C28" i="1"/>
  <c r="D28" i="1" s="1"/>
  <c r="F15" i="4"/>
  <c r="G6" i="4"/>
  <c r="H4" i="4"/>
  <c r="G4" i="4"/>
  <c r="G5" i="4" s="1"/>
  <c r="J4" i="1"/>
  <c r="J5" i="1"/>
  <c r="J6" i="1"/>
  <c r="J7" i="1"/>
  <c r="J8" i="1"/>
  <c r="J3" i="1"/>
  <c r="D4" i="1"/>
  <c r="D5" i="1"/>
  <c r="D20" i="1"/>
  <c r="D3" i="1"/>
  <c r="I27" i="1" l="1"/>
  <c r="J27" i="1" s="1"/>
  <c r="I28" i="1" s="1"/>
  <c r="J28" i="1" s="1"/>
  <c r="C18" i="1"/>
  <c r="D18" i="1" s="1"/>
  <c r="C26" i="1" s="1"/>
  <c r="D26" i="1" s="1"/>
  <c r="C27" i="1" s="1"/>
  <c r="D27" i="1" s="1"/>
  <c r="C29" i="1" s="1"/>
  <c r="D29" i="1" s="1"/>
  <c r="I23" i="1"/>
  <c r="J23" i="1" s="1"/>
  <c r="I25" i="1" s="1"/>
  <c r="J25" i="1" s="1"/>
  <c r="G14" i="4"/>
  <c r="G15" i="4"/>
  <c r="H5" i="4"/>
  <c r="G10" i="4" s="1"/>
  <c r="G8" i="4"/>
  <c r="I9" i="1"/>
  <c r="J9" i="1" s="1"/>
  <c r="G12" i="3"/>
  <c r="H12" i="3" s="1"/>
  <c r="C13" i="3"/>
  <c r="D13" i="3" s="1"/>
  <c r="C3" i="2"/>
  <c r="D3" i="2" s="1"/>
  <c r="C4" i="2" s="1"/>
  <c r="D4" i="2" s="1"/>
  <c r="C8" i="3"/>
  <c r="D8" i="3" s="1"/>
  <c r="I10" i="1"/>
  <c r="J10" i="1" s="1"/>
  <c r="C10" i="3" s="1"/>
  <c r="D10" i="3" s="1"/>
  <c r="D19" i="1"/>
  <c r="G6" i="3" s="1"/>
  <c r="H10" i="3" l="1"/>
  <c r="C6" i="2"/>
  <c r="D6" i="2" s="1"/>
  <c r="C10" i="2"/>
  <c r="D10" i="2" s="1"/>
  <c r="G7" i="4"/>
  <c r="G11" i="4" s="1"/>
  <c r="G9" i="4"/>
  <c r="C11" i="3"/>
  <c r="D11" i="3" s="1"/>
  <c r="C5" i="2"/>
  <c r="D5" i="2" s="1"/>
  <c r="H9" i="3"/>
  <c r="H6" i="3"/>
  <c r="C6" i="3"/>
  <c r="D6" i="3" l="1"/>
  <c r="J15" i="1"/>
  <c r="D17" i="3" l="1"/>
  <c r="I16" i="1"/>
  <c r="J16" i="1" s="1"/>
  <c r="D34" i="1"/>
  <c r="I17" i="1"/>
  <c r="J17" i="1" s="1"/>
  <c r="H16" i="3" l="1"/>
  <c r="I18" i="1"/>
  <c r="J18" i="1" s="1"/>
  <c r="I19" i="1" l="1"/>
  <c r="J19" i="1" s="1"/>
  <c r="C34" i="1"/>
  <c r="I20" i="1"/>
  <c r="J20" i="1" s="1"/>
  <c r="G7" i="3" l="1"/>
  <c r="H7" i="3" s="1"/>
  <c r="G8" i="3" s="1"/>
  <c r="H8" i="3" s="1"/>
  <c r="G11" i="3" s="1"/>
  <c r="H11" i="3" s="1"/>
  <c r="G13" i="3" s="1"/>
  <c r="H13" i="3" s="1"/>
  <c r="G15" i="3" s="1"/>
  <c r="H15" i="3" s="1"/>
  <c r="C7" i="2" s="1"/>
  <c r="D7" i="2" s="1"/>
  <c r="C7" i="3"/>
  <c r="D7" i="3" s="1"/>
  <c r="C9" i="3" s="1"/>
  <c r="D9" i="3" s="1"/>
  <c r="C12" i="3" s="1"/>
  <c r="D12" i="3" s="1"/>
  <c r="C14" i="3" s="1"/>
  <c r="D14" i="3" s="1"/>
  <c r="C16" i="3" s="1"/>
  <c r="D16" i="3" s="1"/>
  <c r="I31" i="1" s="1"/>
  <c r="J31" i="1" s="1"/>
  <c r="I30" i="1" s="1"/>
  <c r="J30" i="1" s="1"/>
  <c r="C8" i="2" s="1"/>
  <c r="D8" i="2" s="1"/>
  <c r="C9" i="2" l="1"/>
  <c r="D9" i="2" s="1"/>
  <c r="C11" i="2"/>
  <c r="D11" i="2" s="1"/>
  <c r="I3" i="5"/>
  <c r="I4" i="5"/>
  <c r="I5" i="5"/>
  <c r="H3" i="5"/>
  <c r="H4" i="5"/>
  <c r="H5" i="5"/>
  <c r="C7" i="5"/>
  <c r="D7" i="5"/>
  <c r="C5" i="5"/>
  <c r="D5" i="5"/>
  <c r="C6" i="5"/>
  <c r="D6" i="5"/>
</calcChain>
</file>

<file path=xl/sharedStrings.xml><?xml version="1.0" encoding="utf-8"?>
<sst xmlns="http://schemas.openxmlformats.org/spreadsheetml/2006/main" count="246" uniqueCount="163">
  <si>
    <t>Patrimonio Neto Promedio</t>
  </si>
  <si>
    <t>Créditos</t>
  </si>
  <si>
    <t>Caja y Bancos</t>
  </si>
  <si>
    <t>Bienes de Cambio</t>
  </si>
  <si>
    <t>Rotación del Patrimonio neto promedio</t>
  </si>
  <si>
    <t>Margen sobre ventas</t>
  </si>
  <si>
    <t>Indice de liquidez</t>
  </si>
  <si>
    <t>Rotación del activo corriente</t>
  </si>
  <si>
    <t>Indice de solvencia</t>
  </si>
  <si>
    <t>Tasa de impuesto a las ganancias</t>
  </si>
  <si>
    <t>Nombre de Cuenta</t>
  </si>
  <si>
    <t>Cálculo</t>
  </si>
  <si>
    <t>Valor directo</t>
  </si>
  <si>
    <t>Tipo de costo</t>
  </si>
  <si>
    <t>Ventas</t>
  </si>
  <si>
    <t>Tipo de gasto</t>
  </si>
  <si>
    <t>Costo total de producción</t>
  </si>
  <si>
    <t>Gastos de comercialización variables</t>
  </si>
  <si>
    <t>Gastos de comercialización fijos</t>
  </si>
  <si>
    <t>Gastos de fabricación fijos</t>
  </si>
  <si>
    <t>Gastos de fabricación variables</t>
  </si>
  <si>
    <t>Gastos administrativos y financieros variables</t>
  </si>
  <si>
    <t>Gastos administrativos y financieros fijos</t>
  </si>
  <si>
    <t>Actividad</t>
  </si>
  <si>
    <t>Cantidad producida</t>
  </si>
  <si>
    <t>Cantidad vendida</t>
  </si>
  <si>
    <t>Tipo de cuenta</t>
  </si>
  <si>
    <t>Activo no corriente</t>
  </si>
  <si>
    <t>Activo corriente</t>
  </si>
  <si>
    <t>Pasivo corriente</t>
  </si>
  <si>
    <t>Pasivo no corriente</t>
  </si>
  <si>
    <t>Valor</t>
  </si>
  <si>
    <t>Fórmula</t>
  </si>
  <si>
    <t>Tasa</t>
  </si>
  <si>
    <t>Disponibilidades</t>
  </si>
  <si>
    <t>Indice de endeudamiento</t>
  </si>
  <si>
    <t>Costo de ventas</t>
  </si>
  <si>
    <t>Sistema Directo</t>
  </si>
  <si>
    <t>Sistema por Absorción</t>
  </si>
  <si>
    <t>Ingresos por ventas</t>
  </si>
  <si>
    <t>Gasto de comercialización variables</t>
  </si>
  <si>
    <t>Contribución marginal</t>
  </si>
  <si>
    <t>Gastos fijos</t>
  </si>
  <si>
    <t>Gastos variables</t>
  </si>
  <si>
    <t>UN antes de intereses e impuestos</t>
  </si>
  <si>
    <t>Resultado</t>
  </si>
  <si>
    <t>-</t>
  </si>
  <si>
    <t>Intereses</t>
  </si>
  <si>
    <t>Intereses a pagar</t>
  </si>
  <si>
    <t>UN antes de impuestos</t>
  </si>
  <si>
    <t>Impuesto a las ganancias</t>
  </si>
  <si>
    <t>ROE (Rentabilidad del Patrimonio Neto)</t>
  </si>
  <si>
    <t>Inventario inicial</t>
  </si>
  <si>
    <t>Costo unitario de producción</t>
  </si>
  <si>
    <t>Costo unitario de producción de inventario inicial</t>
  </si>
  <si>
    <t>Costo total de producción de inventario inicial</t>
  </si>
  <si>
    <t>Valor de inventario</t>
  </si>
  <si>
    <t>Sistema de valuación de stock</t>
  </si>
  <si>
    <t>Costo de fabricación</t>
  </si>
  <si>
    <t>Precio unitario de venta</t>
  </si>
  <si>
    <t>Utilidad Bruta</t>
  </si>
  <si>
    <t>Sistema de costeo</t>
  </si>
  <si>
    <t>Tasa de oportunidad</t>
  </si>
  <si>
    <t>Tipo</t>
  </si>
  <si>
    <t>Utilidades Netas antes de impuestos y honorarios</t>
  </si>
  <si>
    <t>Inversión en bienes de activo fijo</t>
  </si>
  <si>
    <t xml:space="preserve">Inversión en bienes de capital de trabajo </t>
  </si>
  <si>
    <t>Amortización del capital fijo</t>
  </si>
  <si>
    <t>Honorarios al directorio</t>
  </si>
  <si>
    <t>Crédito fiscal IVA</t>
  </si>
  <si>
    <t>Recuperación del valor final del activo fijo</t>
  </si>
  <si>
    <t>Recuperación del crédito fiscal</t>
  </si>
  <si>
    <t>Recuperación del capital de trabajo</t>
  </si>
  <si>
    <t>Operación</t>
  </si>
  <si>
    <t>+</t>
  </si>
  <si>
    <t>Período (años)</t>
  </si>
  <si>
    <t>Instante</t>
  </si>
  <si>
    <t>Flujo proyectado</t>
  </si>
  <si>
    <t>Flujo acumulado</t>
  </si>
  <si>
    <t>Inversión</t>
  </si>
  <si>
    <t>TIR</t>
  </si>
  <si>
    <t>Período de recuperación simple</t>
  </si>
  <si>
    <t>ROI (rendimiento de la inversión)</t>
  </si>
  <si>
    <t>Tasa de VAN</t>
  </si>
  <si>
    <t>VAN</t>
  </si>
  <si>
    <t>Préstamos de proveedores de materia prima</t>
  </si>
  <si>
    <t>Beneficio neto</t>
  </si>
  <si>
    <t>ICR (interés sobre capital residual) o Beneficio normal</t>
  </si>
  <si>
    <t>Sistema de amortización</t>
  </si>
  <si>
    <t>LINEAL</t>
  </si>
  <si>
    <t>Tipo de valor</t>
  </si>
  <si>
    <t>Inicial</t>
  </si>
  <si>
    <t>Final</t>
  </si>
  <si>
    <t>Amortizable</t>
  </si>
  <si>
    <t>Vida útil</t>
  </si>
  <si>
    <t>Puntuación</t>
  </si>
  <si>
    <t>Cuota</t>
  </si>
  <si>
    <t>Monto</t>
  </si>
  <si>
    <t>Valor residual</t>
  </si>
  <si>
    <t>Activo total</t>
  </si>
  <si>
    <t>Pasivo total</t>
  </si>
  <si>
    <t>Tasa de deuda (Kd)</t>
  </si>
  <si>
    <t>Tasa de costo de capital propio (Ke)</t>
  </si>
  <si>
    <t>Tasa promedio ponderada de costo de capital (WACC)</t>
  </si>
  <si>
    <t>Tasa de deuda real (TCCPR)</t>
  </si>
  <si>
    <t>Deuda total a pagar</t>
  </si>
  <si>
    <t>Dividendos a pagar</t>
  </si>
  <si>
    <t>Patrimonio Neto</t>
  </si>
  <si>
    <t>ROA (Rentabilidad del Activo)</t>
  </si>
  <si>
    <t>Inmuebles</t>
  </si>
  <si>
    <t>Maquinarias</t>
  </si>
  <si>
    <t>Elementos de transporte</t>
  </si>
  <si>
    <t>Deudas bancarias de corto plazo</t>
  </si>
  <si>
    <t>Deudas con proveedores de corto plazo</t>
  </si>
  <si>
    <t>Deudas bancarias de largo plazo</t>
  </si>
  <si>
    <t>Deudas con proveedores de largo plazo</t>
  </si>
  <si>
    <t>Deudas con otros acreedores de corto plazo</t>
  </si>
  <si>
    <t>Deudas con otros acreedores de largo plazo</t>
  </si>
  <si>
    <t>Patrimonio Neto Total</t>
  </si>
  <si>
    <t>UN (Utilidad Neta) o Resultado Neto</t>
  </si>
  <si>
    <t>Bienes de Uso</t>
  </si>
  <si>
    <t>Capital invertido por accionistas o Capital social</t>
  </si>
  <si>
    <t>Deudas a corto plazo totales</t>
  </si>
  <si>
    <t>Deudas a largo plazo totales</t>
  </si>
  <si>
    <t>Determinar:</t>
  </si>
  <si>
    <t>a) Costo unitario de fabricación</t>
  </si>
  <si>
    <t>I) Con los siguientes datos tomados de una empresa que fabrica un único producto, en la que se lleva sistema de costeo por absorción y LIFO para la valorización de inventarios:</t>
  </si>
  <si>
    <t>INVENTARIO INICIAL</t>
  </si>
  <si>
    <t>Materia prima</t>
  </si>
  <si>
    <t>Producto terminado</t>
  </si>
  <si>
    <t>Valor de la materia prima</t>
  </si>
  <si>
    <t>Costo del producto terminado</t>
  </si>
  <si>
    <t>INFORMACIÓN DEL PERÍODO</t>
  </si>
  <si>
    <t>Compra de materia prima</t>
  </si>
  <si>
    <t>Costo Mano obra directa</t>
  </si>
  <si>
    <t>Gastos fabricación fijos</t>
  </si>
  <si>
    <t>Gastos comercialización fijo</t>
  </si>
  <si>
    <t>Otros Gastos fabricación variables</t>
  </si>
  <si>
    <t>Gastos comercialización variables</t>
  </si>
  <si>
    <t>Gastos administración fijos</t>
  </si>
  <si>
    <t>Precio de venta unitario</t>
  </si>
  <si>
    <t>INVENTARIO FINAL</t>
  </si>
  <si>
    <t>b) Utilidad Neta después de impuestos, sabiendo que la tasa del Impuesto a las Ganancias es de 35%</t>
  </si>
  <si>
    <t>Elemento del Inventario</t>
  </si>
  <si>
    <t>Valor Directo</t>
  </si>
  <si>
    <t>Materia prima inicial</t>
  </si>
  <si>
    <t>Materia prima adquirida</t>
  </si>
  <si>
    <t>Materia prima final</t>
  </si>
  <si>
    <t>Materia prima consumida</t>
  </si>
  <si>
    <t>ABSORCIÓN</t>
  </si>
  <si>
    <t>Costo de la materia prima consumida</t>
  </si>
  <si>
    <t>LIFO</t>
  </si>
  <si>
    <t>CUF = (Costo MP + Costo MOD + Costo fabricación fijo + Costo fabricación variable) / Cantidad producida ($)</t>
  </si>
  <si>
    <t xml:space="preserve">CUF = </t>
  </si>
  <si>
    <t>Producto inicial</t>
  </si>
  <si>
    <t>Producto adquirido</t>
  </si>
  <si>
    <t>Producto final</t>
  </si>
  <si>
    <t>Producto vendido</t>
  </si>
  <si>
    <t>Costo de Materia Prima</t>
  </si>
  <si>
    <t>Costo de Mano de Obra Directa</t>
  </si>
  <si>
    <t>Stock del inventario</t>
  </si>
  <si>
    <t>Costo prima final</t>
  </si>
  <si>
    <t>Costo prima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</si>
</sst>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0" fontId="0" fillId="0" borderId="1" xfId="0" applyNumberFormat="1" applyBorder="1"/>
    <xf numFmtId="10" fontId="0" fillId="0" borderId="1" xfId="0" applyNumberFormat="1" applyBorder="1" applyAlignment="1">
      <alignment horizontal="center"/>
    </xf>
    <xf numFmtId="0" fontId="0" fillId="0" borderId="1" xfId="0" applyFill="1" applyBorder="1"/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0" xfId="0" applyBorder="1"/>
    <xf numFmtId="2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Fill="1" applyBorder="1"/>
    <xf numFmtId="164" fontId="0" fillId="0" borderId="1" xfId="0" applyNumberFormat="1" applyFill="1" applyBorder="1" applyAlignment="1"/>
    <xf numFmtId="10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9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/>
    <xf numFmtId="164" fontId="0" fillId="0" borderId="1" xfId="0" applyNumberFormat="1" applyFill="1" applyBorder="1" applyAlignment="1">
      <alignment horizontal="right"/>
    </xf>
    <xf numFmtId="9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right" wrapText="1"/>
    </xf>
    <xf numFmtId="10" fontId="0" fillId="0" borderId="0" xfId="0" applyNumberFormat="1" applyBorder="1" applyAlignment="1">
      <alignment horizontal="right" wrapText="1"/>
    </xf>
    <xf numFmtId="0" fontId="0" fillId="0" borderId="0" xfId="0" applyBorder="1" applyAlignment="1"/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4" borderId="0" xfId="0" applyFill="1"/>
    <xf numFmtId="164" fontId="0" fillId="4" borderId="0" xfId="0" applyNumberFormat="1" applyFill="1"/>
    <xf numFmtId="0" fontId="0" fillId="4" borderId="1" xfId="0" applyFill="1" applyBorder="1"/>
    <xf numFmtId="164" fontId="0" fillId="4" borderId="1" xfId="0" applyNumberFormat="1" applyFill="1" applyBorder="1"/>
    <xf numFmtId="164" fontId="0" fillId="4" borderId="1" xfId="0" applyNumberFormat="1" applyFill="1" applyBorder="1" applyAlignment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0" fontId="0" fillId="0" borderId="2" xfId="0" applyNumberFormat="1" applyBorder="1" applyAlignment="1"/>
    <xf numFmtId="1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0" borderId="3" xfId="0" applyBorder="1" applyAlignment="1"/>
    <xf numFmtId="9" fontId="0" fillId="0" borderId="2" xfId="0" applyNumberFormat="1" applyBorder="1" applyAlignment="1"/>
    <xf numFmtId="0" fontId="0" fillId="0" borderId="2" xfId="0" applyBorder="1" applyAlignment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"/>
  <sheetViews>
    <sheetView workbookViewId="0">
      <selection activeCell="E8" sqref="E8"/>
    </sheetView>
  </sheetViews>
  <sheetFormatPr baseColWidth="10" defaultRowHeight="15" x14ac:dyDescent="0.25"/>
  <cols>
    <col min="1" max="1" width="27.7109375" customWidth="1"/>
    <col min="2" max="2" width="15.28515625" customWidth="1"/>
    <col min="3" max="3" width="14.42578125" customWidth="1"/>
    <col min="4" max="4" width="31.140625" customWidth="1"/>
    <col min="5" max="5" width="13.28515625" customWidth="1"/>
    <col min="6" max="6" width="18.85546875" customWidth="1"/>
    <col min="7" max="7" width="35.140625" customWidth="1"/>
    <col min="8" max="8" width="14.85546875" customWidth="1"/>
    <col min="9" max="9" width="16" customWidth="1"/>
    <col min="10" max="10" width="14" customWidth="1"/>
  </cols>
  <sheetData>
    <row r="1" spans="1:20" x14ac:dyDescent="0.25">
      <c r="A1" s="39" t="s">
        <v>126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"/>
      <c r="S1" s="1"/>
      <c r="T1" s="1"/>
    </row>
    <row r="2" spans="1:20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  <c r="N2" s="36"/>
      <c r="O2" s="19"/>
      <c r="P2" s="19"/>
      <c r="Q2" s="19"/>
    </row>
    <row r="3" spans="1:20" x14ac:dyDescent="0.25">
      <c r="A3" s="49" t="s">
        <v>127</v>
      </c>
      <c r="B3" s="49"/>
      <c r="C3" s="34"/>
      <c r="D3" s="49" t="s">
        <v>132</v>
      </c>
      <c r="E3" s="49"/>
      <c r="F3" s="35"/>
      <c r="G3" s="49" t="s">
        <v>141</v>
      </c>
      <c r="H3" s="49"/>
      <c r="I3" s="35"/>
      <c r="J3" s="35"/>
      <c r="K3" s="35"/>
      <c r="L3" s="35"/>
      <c r="M3" s="37"/>
      <c r="N3" s="37"/>
      <c r="O3" s="19"/>
      <c r="P3" s="19"/>
      <c r="Q3" s="19"/>
    </row>
    <row r="4" spans="1:20" x14ac:dyDescent="0.25">
      <c r="A4" s="40" t="s">
        <v>128</v>
      </c>
      <c r="B4" s="41">
        <v>100000</v>
      </c>
      <c r="C4" s="35"/>
      <c r="D4" s="40" t="s">
        <v>133</v>
      </c>
      <c r="E4" s="41">
        <v>1200000</v>
      </c>
      <c r="G4" s="40" t="s">
        <v>128</v>
      </c>
      <c r="H4" s="41">
        <v>50000</v>
      </c>
      <c r="M4" s="37"/>
      <c r="N4" s="37"/>
      <c r="O4" s="19"/>
      <c r="P4" s="19"/>
      <c r="Q4" s="19"/>
    </row>
    <row r="5" spans="1:20" x14ac:dyDescent="0.25">
      <c r="A5" s="40" t="s">
        <v>129</v>
      </c>
      <c r="B5" s="41">
        <v>100000</v>
      </c>
      <c r="C5" s="35"/>
      <c r="D5" s="40" t="s">
        <v>134</v>
      </c>
      <c r="E5" s="41">
        <v>1800000</v>
      </c>
      <c r="G5" s="40" t="s">
        <v>129</v>
      </c>
      <c r="H5" s="41">
        <v>40000</v>
      </c>
      <c r="M5" s="25"/>
      <c r="N5" s="25"/>
      <c r="O5" s="19"/>
      <c r="P5" s="19"/>
      <c r="Q5" s="19"/>
    </row>
    <row r="6" spans="1:20" x14ac:dyDescent="0.25">
      <c r="A6" s="40" t="s">
        <v>130</v>
      </c>
      <c r="B6" s="42">
        <v>9</v>
      </c>
      <c r="C6" s="35"/>
      <c r="D6" s="40" t="s">
        <v>135</v>
      </c>
      <c r="E6" s="41">
        <v>365000</v>
      </c>
      <c r="G6" s="35"/>
      <c r="H6" s="35"/>
      <c r="I6" s="35"/>
      <c r="J6" s="35"/>
      <c r="K6" s="35"/>
      <c r="L6" s="35"/>
      <c r="M6" s="25"/>
      <c r="N6" s="25"/>
      <c r="O6" s="19"/>
      <c r="P6" s="19"/>
      <c r="Q6" s="19"/>
    </row>
    <row r="7" spans="1:20" x14ac:dyDescent="0.25">
      <c r="A7" s="40" t="s">
        <v>131</v>
      </c>
      <c r="B7" s="42">
        <v>12</v>
      </c>
      <c r="C7" s="35"/>
      <c r="D7" s="40" t="s">
        <v>136</v>
      </c>
      <c r="E7" s="41">
        <v>334000</v>
      </c>
      <c r="M7" s="25"/>
      <c r="N7" s="25"/>
      <c r="O7" s="19"/>
      <c r="P7" s="19"/>
      <c r="Q7" s="19"/>
    </row>
    <row r="8" spans="1:20" x14ac:dyDescent="0.25">
      <c r="D8" s="40" t="s">
        <v>24</v>
      </c>
      <c r="E8" s="41">
        <v>1200000</v>
      </c>
      <c r="M8" s="25"/>
      <c r="N8" s="25"/>
      <c r="O8" s="19"/>
      <c r="P8" s="19"/>
      <c r="Q8" s="19"/>
    </row>
    <row r="9" spans="1:20" x14ac:dyDescent="0.25">
      <c r="B9" s="35"/>
      <c r="C9" s="35"/>
      <c r="D9" s="40" t="s">
        <v>130</v>
      </c>
      <c r="E9" s="42">
        <v>9.6999999999999993</v>
      </c>
      <c r="H9" s="35"/>
      <c r="M9" s="25"/>
      <c r="N9" s="25"/>
      <c r="O9" s="19"/>
      <c r="P9" s="19"/>
      <c r="Q9" s="19"/>
    </row>
    <row r="10" spans="1:20" x14ac:dyDescent="0.25">
      <c r="A10" s="35"/>
      <c r="B10" s="35"/>
      <c r="C10" s="35"/>
      <c r="D10" s="40" t="s">
        <v>137</v>
      </c>
      <c r="E10" s="41">
        <v>300000</v>
      </c>
      <c r="H10" s="35"/>
      <c r="M10" s="25"/>
      <c r="N10" s="25"/>
      <c r="O10" s="19"/>
      <c r="P10" s="19"/>
      <c r="Q10" s="19"/>
    </row>
    <row r="11" spans="1:20" x14ac:dyDescent="0.25">
      <c r="A11" s="35"/>
      <c r="B11" s="35"/>
      <c r="C11" s="35"/>
      <c r="D11" s="40" t="s">
        <v>138</v>
      </c>
      <c r="E11" s="41">
        <v>400000</v>
      </c>
      <c r="H11" s="35"/>
      <c r="M11" s="25"/>
      <c r="N11" s="25"/>
      <c r="O11" s="19"/>
      <c r="P11" s="19"/>
      <c r="Q11" s="19"/>
    </row>
    <row r="12" spans="1:20" x14ac:dyDescent="0.25">
      <c r="A12" s="35"/>
      <c r="B12" s="35"/>
      <c r="C12" s="35"/>
      <c r="D12" s="40" t="s">
        <v>139</v>
      </c>
      <c r="E12" s="41">
        <v>150000</v>
      </c>
      <c r="H12" s="35"/>
      <c r="M12" s="25"/>
      <c r="N12" s="25"/>
      <c r="O12" s="19"/>
      <c r="P12" s="19"/>
      <c r="Q12" s="19"/>
    </row>
    <row r="13" spans="1:20" x14ac:dyDescent="0.25">
      <c r="A13" s="35"/>
      <c r="B13" s="35"/>
      <c r="C13" s="35"/>
      <c r="D13" s="40" t="s">
        <v>140</v>
      </c>
      <c r="E13" s="42">
        <v>22</v>
      </c>
      <c r="H13" s="35"/>
      <c r="M13" s="25"/>
      <c r="N13" s="25"/>
      <c r="O13" s="19"/>
      <c r="P13" s="19"/>
      <c r="Q13" s="19"/>
    </row>
    <row r="14" spans="1:20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25"/>
      <c r="N14" s="25"/>
      <c r="O14" s="19"/>
      <c r="P14" s="19"/>
      <c r="Q14" s="19"/>
    </row>
    <row r="15" spans="1:20" x14ac:dyDescent="0.25">
      <c r="B15" s="35"/>
      <c r="C15" s="35"/>
      <c r="E15" s="35"/>
      <c r="G15" s="35"/>
      <c r="H15" s="35"/>
      <c r="I15" s="35"/>
      <c r="J15" s="35"/>
      <c r="K15" s="35"/>
      <c r="L15" s="35"/>
      <c r="M15" s="25"/>
      <c r="N15" s="25"/>
      <c r="O15" s="19"/>
      <c r="P15" s="19"/>
      <c r="Q15" s="19"/>
    </row>
    <row r="16" spans="1:20" x14ac:dyDescent="0.25">
      <c r="A16" s="35"/>
      <c r="B16" s="35"/>
      <c r="C16" s="35"/>
      <c r="E16" s="35"/>
      <c r="G16" s="35"/>
      <c r="H16" s="35"/>
      <c r="I16" s="35"/>
      <c r="J16" s="35"/>
      <c r="K16" s="35"/>
      <c r="L16" s="35"/>
      <c r="M16" s="25"/>
      <c r="N16" s="25"/>
      <c r="O16" s="19"/>
      <c r="P16" s="19"/>
      <c r="Q16" s="19"/>
    </row>
    <row r="17" spans="1:17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25"/>
      <c r="N17" s="25"/>
      <c r="O17" s="19"/>
      <c r="P17" s="19"/>
      <c r="Q17" s="19"/>
    </row>
    <row r="18" spans="1:17" x14ac:dyDescent="0.25">
      <c r="A18" s="35" t="s">
        <v>124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25"/>
      <c r="N18" s="25"/>
      <c r="O18" s="19"/>
      <c r="P18" s="19"/>
      <c r="Q18" s="19"/>
    </row>
    <row r="19" spans="1:17" x14ac:dyDescent="0.25">
      <c r="A19" s="34" t="s">
        <v>125</v>
      </c>
      <c r="B19" s="38"/>
      <c r="C19" s="38"/>
      <c r="D19" s="38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"/>
      <c r="P19" s="19"/>
      <c r="Q19" s="19"/>
    </row>
    <row r="20" spans="1:17" x14ac:dyDescent="0.25">
      <c r="E20" s="33"/>
      <c r="F20" s="25"/>
      <c r="G20" s="6" t="s">
        <v>143</v>
      </c>
      <c r="H20" s="6" t="s">
        <v>144</v>
      </c>
      <c r="I20" s="6" t="s">
        <v>11</v>
      </c>
      <c r="J20" s="6" t="s">
        <v>45</v>
      </c>
      <c r="K20" s="25"/>
      <c r="L20" s="25"/>
      <c r="M20" s="25"/>
      <c r="N20" s="25"/>
      <c r="O20" s="19"/>
      <c r="P20" s="19"/>
      <c r="Q20" s="19"/>
    </row>
    <row r="21" spans="1:17" x14ac:dyDescent="0.25">
      <c r="A21" t="s">
        <v>152</v>
      </c>
      <c r="E21" s="27"/>
      <c r="F21" s="25"/>
      <c r="G21" s="5" t="s">
        <v>145</v>
      </c>
      <c r="H21" s="5">
        <v>100000</v>
      </c>
      <c r="I21" s="5"/>
      <c r="J21" s="5">
        <f>IF(H21&gt;0,H21,I21)</f>
        <v>100000</v>
      </c>
      <c r="K21" s="25"/>
      <c r="L21" s="25"/>
      <c r="M21" s="25"/>
      <c r="N21" s="25"/>
      <c r="O21" s="19"/>
      <c r="P21" s="19"/>
    </row>
    <row r="22" spans="1:17" x14ac:dyDescent="0.25">
      <c r="A22" s="43" t="s">
        <v>153</v>
      </c>
      <c r="B22" s="44">
        <f>(J25+E5+E6+E10)/E8</f>
        <v>12.129166666666666</v>
      </c>
      <c r="E22" s="28"/>
      <c r="F22" s="25"/>
      <c r="G22" s="5" t="s">
        <v>146</v>
      </c>
      <c r="H22" s="5">
        <v>1200000</v>
      </c>
      <c r="I22" s="5"/>
      <c r="J22" s="5">
        <f>IF(H22&gt;0,H22,I22)</f>
        <v>1200000</v>
      </c>
      <c r="K22" s="25"/>
      <c r="L22" s="25"/>
      <c r="M22" s="25"/>
      <c r="N22" s="25"/>
      <c r="O22" s="19"/>
      <c r="P22" s="19"/>
    </row>
    <row r="23" spans="1:17" x14ac:dyDescent="0.25">
      <c r="E23" s="26"/>
      <c r="F23" s="25"/>
      <c r="G23" s="5" t="s">
        <v>147</v>
      </c>
      <c r="H23" s="5">
        <v>50000</v>
      </c>
      <c r="I23" s="5"/>
      <c r="J23" s="5">
        <f>IF(H23&gt;0,H23,I23)</f>
        <v>50000</v>
      </c>
      <c r="K23" s="25"/>
      <c r="L23" s="25"/>
      <c r="M23" s="25"/>
      <c r="N23" s="25"/>
      <c r="O23" s="19"/>
      <c r="P23" s="19"/>
    </row>
    <row r="24" spans="1:17" x14ac:dyDescent="0.25">
      <c r="A24" s="25"/>
      <c r="B24" s="25"/>
      <c r="C24" s="25"/>
      <c r="D24" s="26"/>
      <c r="E24" s="26"/>
      <c r="F24" s="25"/>
      <c r="G24" s="5" t="s">
        <v>148</v>
      </c>
      <c r="H24" s="5"/>
      <c r="I24" s="5">
        <f>H21+H22-H23</f>
        <v>1250000</v>
      </c>
      <c r="J24" s="5">
        <f>IF(H24&gt;0,H24,I24)</f>
        <v>1250000</v>
      </c>
      <c r="K24" s="25"/>
      <c r="L24" s="19"/>
      <c r="M24" s="19"/>
      <c r="N24" s="19"/>
      <c r="O24" s="19"/>
      <c r="P24" s="19"/>
    </row>
    <row r="25" spans="1:17" x14ac:dyDescent="0.25">
      <c r="A25" s="25"/>
      <c r="B25" s="25"/>
      <c r="C25" s="25"/>
      <c r="D25" s="26"/>
      <c r="E25" s="26"/>
      <c r="F25" s="25"/>
      <c r="G25" s="5" t="s">
        <v>150</v>
      </c>
      <c r="H25" s="10"/>
      <c r="I25" s="10">
        <f>(1200000*9.7)+(50000*9)</f>
        <v>12090000</v>
      </c>
      <c r="J25" s="10">
        <f>IF(H25&gt;0,H25,I25)</f>
        <v>12090000</v>
      </c>
      <c r="K25" s="25"/>
      <c r="L25" s="19"/>
    </row>
    <row r="26" spans="1:17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19"/>
    </row>
    <row r="27" spans="1:17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19"/>
    </row>
    <row r="28" spans="1:17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19"/>
    </row>
    <row r="29" spans="1:17" x14ac:dyDescent="0.25">
      <c r="A29" t="s">
        <v>142</v>
      </c>
      <c r="B29" s="38"/>
      <c r="C29" s="38"/>
      <c r="D29" s="38"/>
      <c r="E29" s="25"/>
      <c r="F29" s="25"/>
      <c r="G29" s="6" t="s">
        <v>143</v>
      </c>
      <c r="H29" s="6" t="s">
        <v>144</v>
      </c>
      <c r="I29" s="6" t="s">
        <v>11</v>
      </c>
      <c r="J29" s="6" t="s">
        <v>45</v>
      </c>
      <c r="K29" s="25"/>
      <c r="L29" s="19"/>
    </row>
    <row r="30" spans="1:17" x14ac:dyDescent="0.25">
      <c r="A30" s="25"/>
      <c r="B30" s="25"/>
      <c r="C30" s="25"/>
      <c r="D30" s="26"/>
      <c r="E30" s="26"/>
      <c r="F30" s="29"/>
      <c r="G30" s="5" t="s">
        <v>154</v>
      </c>
      <c r="H30" s="5">
        <v>100000</v>
      </c>
      <c r="I30" s="5"/>
      <c r="J30" s="5">
        <f>IF(H30&gt;0,H30,I30)</f>
        <v>100000</v>
      </c>
      <c r="K30" s="25"/>
      <c r="L30" s="19"/>
    </row>
    <row r="31" spans="1:17" x14ac:dyDescent="0.25">
      <c r="A31" s="25"/>
      <c r="B31" s="25"/>
      <c r="C31" s="25"/>
      <c r="D31" s="27"/>
      <c r="E31" s="27"/>
      <c r="F31" s="29"/>
      <c r="G31" s="5" t="s">
        <v>155</v>
      </c>
      <c r="H31" s="5">
        <v>1200000</v>
      </c>
      <c r="I31" s="5"/>
      <c r="J31" s="5">
        <f>IF(H31&gt;0,H31,I31)</f>
        <v>1200000</v>
      </c>
      <c r="K31" s="25"/>
      <c r="L31" s="19"/>
    </row>
    <row r="32" spans="1:17" x14ac:dyDescent="0.25">
      <c r="A32" s="25"/>
      <c r="B32" s="25"/>
      <c r="C32" s="25"/>
      <c r="D32" s="27"/>
      <c r="E32" s="27"/>
      <c r="F32" s="29"/>
      <c r="G32" s="5" t="s">
        <v>156</v>
      </c>
      <c r="H32" s="5">
        <v>40000</v>
      </c>
      <c r="I32" s="5"/>
      <c r="J32" s="5">
        <f>IF(H32&gt;0,H32,I32)</f>
        <v>40000</v>
      </c>
      <c r="K32" s="25"/>
      <c r="L32" s="19"/>
    </row>
    <row r="33" spans="1:12" x14ac:dyDescent="0.25">
      <c r="A33" s="25"/>
      <c r="B33" s="25"/>
      <c r="C33" s="25"/>
      <c r="D33" s="28"/>
      <c r="E33" s="28"/>
      <c r="F33" s="29"/>
      <c r="G33" s="5" t="s">
        <v>157</v>
      </c>
      <c r="H33" s="5"/>
      <c r="I33" s="5">
        <f>H30+H31-H32</f>
        <v>1260000</v>
      </c>
      <c r="J33" s="5">
        <f>IF(H33&gt;0,H33,I33)</f>
        <v>1260000</v>
      </c>
      <c r="K33" s="25"/>
      <c r="L33" s="19"/>
    </row>
    <row r="34" spans="1:12" x14ac:dyDescent="0.25">
      <c r="A34" s="25"/>
      <c r="B34" s="25"/>
      <c r="C34" s="25"/>
      <c r="D34" s="26"/>
      <c r="E34" s="26"/>
      <c r="F34" s="29"/>
      <c r="G34" s="30"/>
      <c r="H34" s="25"/>
      <c r="I34" s="25"/>
      <c r="J34" s="25"/>
      <c r="K34" s="25"/>
      <c r="L34" s="19"/>
    </row>
    <row r="35" spans="1:12" x14ac:dyDescent="0.25">
      <c r="A35" s="25"/>
      <c r="B35" s="25"/>
      <c r="C35" s="25"/>
      <c r="D35" s="26"/>
      <c r="E35" s="26"/>
      <c r="F35" s="29"/>
      <c r="G35" s="29"/>
      <c r="H35" s="25"/>
      <c r="I35" s="25"/>
      <c r="J35" s="25"/>
      <c r="K35" s="25"/>
      <c r="L35" s="19"/>
    </row>
    <row r="36" spans="1:12" x14ac:dyDescent="0.25">
      <c r="A36" s="25"/>
      <c r="B36" s="25"/>
      <c r="C36" s="25"/>
      <c r="D36" s="26"/>
      <c r="E36" s="26"/>
      <c r="F36" s="29"/>
      <c r="G36" s="29"/>
      <c r="H36" s="25"/>
      <c r="I36" s="25"/>
      <c r="J36" s="25"/>
      <c r="K36" s="25"/>
      <c r="L36" s="19"/>
    </row>
    <row r="37" spans="1:12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19"/>
    </row>
    <row r="38" spans="1:12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19"/>
    </row>
    <row r="39" spans="1:12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19"/>
    </row>
    <row r="40" spans="1:12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19"/>
    </row>
    <row r="41" spans="1:12" x14ac:dyDescent="0.25">
      <c r="A41" s="25"/>
      <c r="B41" s="25"/>
      <c r="C41" s="25"/>
      <c r="D41" s="29"/>
      <c r="E41" s="29"/>
      <c r="F41" s="29"/>
      <c r="G41" s="25"/>
      <c r="H41" s="25"/>
      <c r="I41" s="25"/>
      <c r="J41" s="25"/>
      <c r="K41" s="25"/>
      <c r="L41" s="19"/>
    </row>
    <row r="42" spans="1:12" x14ac:dyDescent="0.25">
      <c r="A42" s="25"/>
      <c r="B42" s="25"/>
      <c r="C42" s="25"/>
      <c r="D42" s="29"/>
      <c r="E42" s="29"/>
      <c r="F42" s="29"/>
      <c r="G42" s="25"/>
      <c r="H42" s="25"/>
      <c r="I42" s="25"/>
      <c r="J42" s="25"/>
      <c r="K42" s="25"/>
      <c r="L42" s="19"/>
    </row>
    <row r="43" spans="1:12" x14ac:dyDescent="0.25">
      <c r="A43" s="25"/>
      <c r="B43" s="25"/>
      <c r="C43" s="25"/>
      <c r="D43" s="29"/>
      <c r="E43" s="29"/>
      <c r="F43" s="29"/>
      <c r="G43" s="25"/>
      <c r="H43" s="25"/>
      <c r="I43" s="25"/>
      <c r="J43" s="25"/>
      <c r="K43" s="25"/>
      <c r="L43" s="19"/>
    </row>
    <row r="44" spans="1:12" x14ac:dyDescent="0.25">
      <c r="A44" s="25"/>
      <c r="B44" s="48"/>
      <c r="C44" s="48"/>
      <c r="D44" s="29"/>
      <c r="E44" s="29"/>
      <c r="F44" s="29"/>
      <c r="G44" s="25"/>
      <c r="H44" s="25"/>
      <c r="I44" s="25"/>
      <c r="J44" s="25"/>
      <c r="K44" s="25"/>
      <c r="L44" s="19"/>
    </row>
    <row r="45" spans="1:12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19"/>
    </row>
    <row r="46" spans="1:12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19"/>
    </row>
    <row r="47" spans="1:12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19"/>
    </row>
    <row r="48" spans="1:12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19"/>
    </row>
    <row r="49" spans="1:12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19"/>
    </row>
    <row r="50" spans="1:12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19"/>
    </row>
    <row r="51" spans="1:12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19"/>
    </row>
    <row r="52" spans="1:12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19"/>
    </row>
    <row r="53" spans="1:12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19"/>
    </row>
    <row r="54" spans="1:12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19"/>
    </row>
    <row r="55" spans="1:12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2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</sheetData>
  <mergeCells count="4">
    <mergeCell ref="B44:C44"/>
    <mergeCell ref="A3:B3"/>
    <mergeCell ref="D3:E3"/>
    <mergeCell ref="G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C38" sqref="C38"/>
    </sheetView>
  </sheetViews>
  <sheetFormatPr baseColWidth="10" defaultColWidth="9.140625" defaultRowHeight="15" x14ac:dyDescent="0.25"/>
  <cols>
    <col min="1" max="1" width="47.85546875" customWidth="1"/>
    <col min="2" max="2" width="14.7109375" customWidth="1"/>
    <col min="3" max="3" width="13.85546875" customWidth="1"/>
    <col min="4" max="4" width="15.140625" customWidth="1"/>
    <col min="7" max="7" width="44.140625" customWidth="1"/>
    <col min="8" max="8" width="13.140625" customWidth="1"/>
    <col min="9" max="9" width="15" customWidth="1"/>
    <col min="10" max="10" width="14.85546875" customWidth="1"/>
  </cols>
  <sheetData>
    <row r="1" spans="1:10" x14ac:dyDescent="0.25">
      <c r="B1" s="1"/>
    </row>
    <row r="2" spans="1:10" x14ac:dyDescent="0.25">
      <c r="A2" s="6" t="s">
        <v>10</v>
      </c>
      <c r="B2" s="6" t="s">
        <v>12</v>
      </c>
      <c r="C2" s="6" t="s">
        <v>11</v>
      </c>
      <c r="D2" s="6" t="s">
        <v>45</v>
      </c>
      <c r="G2" s="6" t="s">
        <v>15</v>
      </c>
      <c r="H2" s="6" t="s">
        <v>12</v>
      </c>
      <c r="I2" s="6" t="s">
        <v>11</v>
      </c>
      <c r="J2" s="6" t="s">
        <v>45</v>
      </c>
    </row>
    <row r="3" spans="1:10" x14ac:dyDescent="0.25">
      <c r="A3" s="4" t="s">
        <v>1</v>
      </c>
      <c r="B3" s="9"/>
      <c r="C3" s="11"/>
      <c r="D3" s="10">
        <f>IF(B3&gt;0,B3,C3)</f>
        <v>0</v>
      </c>
      <c r="G3" s="7" t="s">
        <v>17</v>
      </c>
      <c r="H3" s="9">
        <v>400000</v>
      </c>
      <c r="I3" s="10"/>
      <c r="J3" s="10">
        <f>IF(H3&gt;0,H3,I3)</f>
        <v>400000</v>
      </c>
    </row>
    <row r="4" spans="1:10" x14ac:dyDescent="0.25">
      <c r="A4" s="4" t="s">
        <v>2</v>
      </c>
      <c r="B4" s="9"/>
      <c r="C4" s="11"/>
      <c r="D4" s="10">
        <f t="shared" ref="D4:D5" si="0">IF(B4&gt;0,B4,C4)</f>
        <v>0</v>
      </c>
      <c r="G4" s="4" t="s">
        <v>18</v>
      </c>
      <c r="H4" s="9">
        <v>334000</v>
      </c>
      <c r="I4" s="10"/>
      <c r="J4" s="10">
        <f t="shared" ref="J4:J5" si="1">IF(H4&gt;0,H4,I4)</f>
        <v>334000</v>
      </c>
    </row>
    <row r="5" spans="1:10" x14ac:dyDescent="0.25">
      <c r="A5" s="4" t="s">
        <v>3</v>
      </c>
      <c r="B5" s="9"/>
      <c r="C5" s="11"/>
      <c r="D5" s="10">
        <f t="shared" si="0"/>
        <v>0</v>
      </c>
      <c r="G5" s="5" t="s">
        <v>20</v>
      </c>
      <c r="H5" s="9">
        <v>300000</v>
      </c>
      <c r="I5" s="10"/>
      <c r="J5" s="10">
        <f t="shared" si="1"/>
        <v>300000</v>
      </c>
    </row>
    <row r="6" spans="1:10" x14ac:dyDescent="0.25">
      <c r="A6" s="4" t="s">
        <v>120</v>
      </c>
      <c r="B6" s="9"/>
      <c r="C6" s="11"/>
      <c r="D6" s="10">
        <f t="shared" ref="D6" si="2">IF(B6&gt;0,B6,C6)</f>
        <v>0</v>
      </c>
      <c r="G6" s="4" t="s">
        <v>19</v>
      </c>
      <c r="H6" s="9">
        <v>365000</v>
      </c>
      <c r="I6" s="10"/>
      <c r="J6" s="10">
        <f>IF(H6&gt;0,H6,I6)</f>
        <v>365000</v>
      </c>
    </row>
    <row r="7" spans="1:10" x14ac:dyDescent="0.25">
      <c r="A7" s="4" t="s">
        <v>109</v>
      </c>
      <c r="B7" s="9"/>
      <c r="C7" s="11"/>
      <c r="D7" s="10">
        <f t="shared" ref="D7" si="3">IF(B7&gt;0,B7,C7)</f>
        <v>0</v>
      </c>
      <c r="G7" s="4" t="s">
        <v>21</v>
      </c>
      <c r="H7" s="10"/>
      <c r="I7" s="10"/>
      <c r="J7" s="10">
        <f>IF(H7&gt;0,H7,I7)</f>
        <v>0</v>
      </c>
    </row>
    <row r="8" spans="1:10" x14ac:dyDescent="0.25">
      <c r="A8" s="4" t="s">
        <v>110</v>
      </c>
      <c r="B8" s="9"/>
      <c r="C8" s="11"/>
      <c r="D8" s="10">
        <f t="shared" ref="D8:D15" si="4">IF(B8&gt;0,B8,C8)</f>
        <v>0</v>
      </c>
      <c r="G8" s="4" t="s">
        <v>22</v>
      </c>
      <c r="H8" s="10">
        <v>150000</v>
      </c>
      <c r="I8" s="10"/>
      <c r="J8" s="10">
        <f>IF(H8&gt;0,H8,I8)</f>
        <v>150000</v>
      </c>
    </row>
    <row r="9" spans="1:10" x14ac:dyDescent="0.25">
      <c r="A9" s="4" t="s">
        <v>111</v>
      </c>
      <c r="B9" s="9"/>
      <c r="C9" s="11"/>
      <c r="D9" s="10">
        <f t="shared" si="4"/>
        <v>0</v>
      </c>
      <c r="G9" s="4" t="s">
        <v>43</v>
      </c>
      <c r="H9" s="9"/>
      <c r="I9" s="10">
        <f>J3+J5+J7</f>
        <v>700000</v>
      </c>
      <c r="J9" s="10">
        <f>IF(H9&gt;0,H9,I9)</f>
        <v>700000</v>
      </c>
    </row>
    <row r="10" spans="1:10" x14ac:dyDescent="0.25">
      <c r="A10" s="4" t="s">
        <v>112</v>
      </c>
      <c r="B10" s="9"/>
      <c r="C10" s="10"/>
      <c r="D10" s="10">
        <f t="shared" si="4"/>
        <v>0</v>
      </c>
      <c r="G10" s="4" t="s">
        <v>42</v>
      </c>
      <c r="H10" s="9"/>
      <c r="I10" s="10">
        <f>J4+J6+J8</f>
        <v>849000</v>
      </c>
      <c r="J10" s="10">
        <f>IF(H10&gt;0,H10,I10)</f>
        <v>849000</v>
      </c>
    </row>
    <row r="11" spans="1:10" x14ac:dyDescent="0.25">
      <c r="A11" s="4" t="s">
        <v>114</v>
      </c>
      <c r="B11" s="9"/>
      <c r="C11" s="10"/>
      <c r="D11" s="10">
        <f t="shared" si="4"/>
        <v>0</v>
      </c>
    </row>
    <row r="12" spans="1:10" x14ac:dyDescent="0.25">
      <c r="A12" s="4" t="s">
        <v>113</v>
      </c>
      <c r="B12" s="9"/>
      <c r="C12" s="10"/>
      <c r="D12" s="10">
        <f t="shared" si="4"/>
        <v>0</v>
      </c>
      <c r="G12" s="6" t="s">
        <v>13</v>
      </c>
      <c r="H12" s="6" t="s">
        <v>12</v>
      </c>
      <c r="I12" s="6" t="s">
        <v>11</v>
      </c>
      <c r="J12" s="6" t="s">
        <v>45</v>
      </c>
    </row>
    <row r="13" spans="1:10" x14ac:dyDescent="0.25">
      <c r="A13" s="4" t="s">
        <v>115</v>
      </c>
      <c r="B13" s="9"/>
      <c r="C13" s="10"/>
      <c r="D13" s="10">
        <f t="shared" si="4"/>
        <v>0</v>
      </c>
      <c r="G13" s="4" t="s">
        <v>158</v>
      </c>
      <c r="H13" s="9"/>
      <c r="I13" s="10">
        <f>IF(B31="FIFO",IF('Sistemas de costeo'!D21&gt;C38,C38*'Cuentas y Costos'!D24,('Sistemas de costeo'!D24*'Sistemas de costeo'!D21)+((C38-'Sistemas de costeo'!D21)*'Sistemas de costeo'!D25)),IF(B31="LIFO",IF('Sistemas de costeo'!D22&gt;C38,C38*'Sistemas de costeo'!D25,('Sistemas de costeo'!D25*'Sistemas de costeo'!D22)+((C38-'Sistemas de costeo'!D22)*'Sistemas de costeo'!D24))))</f>
        <v>12090000</v>
      </c>
      <c r="J13" s="10">
        <f t="shared" ref="J13" si="5">IF(H13&gt;0,H13,I13)</f>
        <v>12090000</v>
      </c>
    </row>
    <row r="14" spans="1:10" x14ac:dyDescent="0.25">
      <c r="A14" s="4" t="s">
        <v>116</v>
      </c>
      <c r="B14" s="9"/>
      <c r="C14" s="10"/>
      <c r="D14" s="10">
        <f t="shared" si="4"/>
        <v>0</v>
      </c>
      <c r="G14" s="4" t="s">
        <v>159</v>
      </c>
      <c r="H14" s="9">
        <v>1800000</v>
      </c>
      <c r="I14" s="10"/>
      <c r="J14" s="10">
        <f t="shared" ref="J14" si="6">IF(H14&gt;0,H14,I14)</f>
        <v>1800000</v>
      </c>
    </row>
    <row r="15" spans="1:10" x14ac:dyDescent="0.25">
      <c r="A15" s="4" t="s">
        <v>117</v>
      </c>
      <c r="B15" s="9"/>
      <c r="C15" s="10"/>
      <c r="D15" s="10">
        <f t="shared" si="4"/>
        <v>0</v>
      </c>
      <c r="G15" s="4" t="s">
        <v>54</v>
      </c>
      <c r="H15" s="9">
        <v>12</v>
      </c>
      <c r="I15" s="10"/>
      <c r="J15" s="10">
        <f t="shared" ref="J15:J16" si="7">IF(H15&gt;0,H15,I15)</f>
        <v>12</v>
      </c>
    </row>
    <row r="16" spans="1:10" x14ac:dyDescent="0.25">
      <c r="A16" s="4" t="s">
        <v>122</v>
      </c>
      <c r="B16" s="9"/>
      <c r="C16" s="10">
        <f>D10+D12+D14</f>
        <v>0</v>
      </c>
      <c r="D16" s="10">
        <f t="shared" ref="D16" si="8">IF(B16&gt;0,B16,C16)</f>
        <v>0</v>
      </c>
      <c r="G16" s="4" t="s">
        <v>55</v>
      </c>
      <c r="H16" s="10"/>
      <c r="I16" s="10">
        <f>J15*B35</f>
        <v>1200000</v>
      </c>
      <c r="J16" s="10">
        <f t="shared" si="7"/>
        <v>1200000</v>
      </c>
    </row>
    <row r="17" spans="1:10" x14ac:dyDescent="0.25">
      <c r="A17" s="4" t="s">
        <v>123</v>
      </c>
      <c r="B17" s="9"/>
      <c r="C17" s="10">
        <f>D11+D13+D15</f>
        <v>0</v>
      </c>
      <c r="D17" s="10">
        <f t="shared" ref="D17" si="9">IF(B17&gt;0,B17,C17)</f>
        <v>0</v>
      </c>
      <c r="G17" s="45" t="s">
        <v>53</v>
      </c>
      <c r="H17" s="46"/>
      <c r="I17" s="46">
        <f>IF('Sistemas de costeo'!B2="DIRECTO",J18/D34,IF('Sistemas de costeo'!B2="ABSORCIÓN",(J13+J14+J5+J6)/D34))</f>
        <v>12.129166666666666</v>
      </c>
      <c r="J17" s="46">
        <f>IF(H17&gt;0,H17,I17)</f>
        <v>12.129166666666666</v>
      </c>
    </row>
    <row r="18" spans="1:10" x14ac:dyDescent="0.25">
      <c r="A18" s="4" t="s">
        <v>105</v>
      </c>
      <c r="B18" s="10"/>
      <c r="C18" s="10">
        <f>D16+D17</f>
        <v>0</v>
      </c>
      <c r="D18" s="10">
        <f>IF(B18&gt;0,B18,C18)</f>
        <v>0</v>
      </c>
      <c r="G18" s="4" t="s">
        <v>16</v>
      </c>
      <c r="H18" s="9"/>
      <c r="I18" s="10">
        <f>J17*D34</f>
        <v>14555000</v>
      </c>
      <c r="J18" s="10">
        <f>IF(H18&gt;0,H18,I18)</f>
        <v>14555000</v>
      </c>
    </row>
    <row r="19" spans="1:10" x14ac:dyDescent="0.25">
      <c r="A19" s="4" t="s">
        <v>14</v>
      </c>
      <c r="B19" s="9"/>
      <c r="C19" s="10">
        <f>B37*D36</f>
        <v>27720000</v>
      </c>
      <c r="D19" s="10">
        <f>IF(B19&gt;0,B19,C19)</f>
        <v>27720000</v>
      </c>
      <c r="G19" s="4" t="s">
        <v>58</v>
      </c>
      <c r="H19" s="9"/>
      <c r="I19" s="10">
        <f>J18</f>
        <v>14555000</v>
      </c>
      <c r="J19" s="10">
        <f>IF(H19&gt;0,H19,I19)</f>
        <v>14555000</v>
      </c>
    </row>
    <row r="20" spans="1:10" x14ac:dyDescent="0.25">
      <c r="A20" s="4" t="s">
        <v>48</v>
      </c>
      <c r="B20" s="10"/>
      <c r="C20" s="10"/>
      <c r="D20" s="10">
        <f>IF(B20&gt;0,B20,C20)</f>
        <v>0</v>
      </c>
      <c r="G20" s="4" t="s">
        <v>36</v>
      </c>
      <c r="H20" s="10"/>
      <c r="I20" s="10">
        <f>IF(B31="FIFO",IF(B35&gt;D36,D36*J15,J16+((D36-B35)*J17)),IF(B31="LIFO",IF(D34&gt;D36,D36*J17,J18+((D36-B34)*J15))))</f>
        <v>15275000</v>
      </c>
      <c r="J20" s="10">
        <f>IF(H20&gt;0,H20,I20)</f>
        <v>15275000</v>
      </c>
    </row>
    <row r="21" spans="1:10" x14ac:dyDescent="0.25">
      <c r="A21" s="4" t="s">
        <v>106</v>
      </c>
      <c r="B21" s="10"/>
      <c r="C21" s="10"/>
      <c r="D21" s="10">
        <f t="shared" ref="D21:D22" si="10">IF(B21&gt;0,B21,C21)</f>
        <v>0</v>
      </c>
    </row>
    <row r="22" spans="1:10" x14ac:dyDescent="0.25">
      <c r="A22" s="4" t="s">
        <v>121</v>
      </c>
      <c r="B22" s="10"/>
      <c r="C22" s="10"/>
      <c r="D22" s="10">
        <f t="shared" si="10"/>
        <v>0</v>
      </c>
      <c r="G22" s="6" t="s">
        <v>26</v>
      </c>
      <c r="H22" s="6" t="s">
        <v>12</v>
      </c>
      <c r="I22" s="6" t="s">
        <v>11</v>
      </c>
      <c r="J22" s="6" t="s">
        <v>45</v>
      </c>
    </row>
    <row r="23" spans="1:10" x14ac:dyDescent="0.25">
      <c r="G23" s="14" t="s">
        <v>30</v>
      </c>
      <c r="H23" s="22"/>
      <c r="I23" s="22">
        <f>D17</f>
        <v>0</v>
      </c>
      <c r="J23" s="22">
        <f>IF(H23&gt;0,H23,I23)</f>
        <v>0</v>
      </c>
    </row>
    <row r="24" spans="1:10" x14ac:dyDescent="0.25">
      <c r="A24" s="6" t="s">
        <v>33</v>
      </c>
      <c r="B24" s="6" t="s">
        <v>12</v>
      </c>
      <c r="C24" s="6" t="s">
        <v>11</v>
      </c>
      <c r="D24" s="6" t="s">
        <v>45</v>
      </c>
      <c r="G24" s="14" t="s">
        <v>29</v>
      </c>
      <c r="H24" s="22"/>
      <c r="I24" s="22">
        <f>D16</f>
        <v>0</v>
      </c>
      <c r="J24" s="22">
        <f t="shared" ref="J24" si="11">IF(H24&gt;0,H24,I24)</f>
        <v>0</v>
      </c>
    </row>
    <row r="25" spans="1:10" x14ac:dyDescent="0.25">
      <c r="A25" s="4" t="s">
        <v>9</v>
      </c>
      <c r="B25" s="16">
        <v>0.35</v>
      </c>
      <c r="C25" s="3" t="s">
        <v>46</v>
      </c>
      <c r="D25" s="3" t="s">
        <v>46</v>
      </c>
      <c r="G25" s="14" t="s">
        <v>100</v>
      </c>
      <c r="H25" s="22"/>
      <c r="I25" s="22">
        <f>J23+J24</f>
        <v>0</v>
      </c>
      <c r="J25" s="22">
        <f t="shared" ref="J25" si="12">IF(H25&gt;0,H25,I25)</f>
        <v>0</v>
      </c>
    </row>
    <row r="26" spans="1:10" x14ac:dyDescent="0.25">
      <c r="A26" s="17" t="s">
        <v>101</v>
      </c>
      <c r="B26" s="12"/>
      <c r="C26" s="12">
        <f>IFERROR(D20/D18,0)</f>
        <v>0</v>
      </c>
      <c r="D26" s="12">
        <f>IF(B26&gt;0,B26,C26)</f>
        <v>0</v>
      </c>
      <c r="G26" s="14" t="s">
        <v>27</v>
      </c>
      <c r="H26" s="22"/>
      <c r="I26" s="22">
        <f>D7+D8+D9+D6</f>
        <v>0</v>
      </c>
      <c r="J26" s="22">
        <f>IF(H26&gt;0,H26,I26)</f>
        <v>0</v>
      </c>
    </row>
    <row r="27" spans="1:10" x14ac:dyDescent="0.25">
      <c r="A27" s="17" t="s">
        <v>104</v>
      </c>
      <c r="B27" s="12"/>
      <c r="C27" s="12">
        <f>D26-(D26*B25)</f>
        <v>0</v>
      </c>
      <c r="D27" s="12">
        <f>IF(B27&gt;0,B27,C27)</f>
        <v>0</v>
      </c>
      <c r="G27" s="14" t="s">
        <v>28</v>
      </c>
      <c r="H27" s="22"/>
      <c r="I27" s="22">
        <f>D3+D4+D5</f>
        <v>0</v>
      </c>
      <c r="J27" s="22">
        <f>IF(H27&gt;0,H27,I27)</f>
        <v>0</v>
      </c>
    </row>
    <row r="28" spans="1:10" x14ac:dyDescent="0.25">
      <c r="A28" s="17" t="s">
        <v>102</v>
      </c>
      <c r="B28" s="12"/>
      <c r="C28" s="12">
        <f>IFERROR(D21/D22,0)</f>
        <v>0</v>
      </c>
      <c r="D28" s="12">
        <f>IF(B28&gt;0,B28,C28)</f>
        <v>0</v>
      </c>
      <c r="G28" s="14" t="s">
        <v>99</v>
      </c>
      <c r="H28" s="22"/>
      <c r="I28" s="22">
        <f>J26+J27</f>
        <v>0</v>
      </c>
      <c r="J28" s="22">
        <f t="shared" ref="J28" si="13">IF(H28&gt;0,H28,I28)</f>
        <v>0</v>
      </c>
    </row>
    <row r="29" spans="1:10" x14ac:dyDescent="0.25">
      <c r="A29" s="17" t="s">
        <v>103</v>
      </c>
      <c r="B29" s="12"/>
      <c r="C29" s="12">
        <f>IFERROR((D28*(J29/(J29+D18)))+(D27*(D18/(D18+J29))),0)</f>
        <v>0</v>
      </c>
      <c r="D29" s="12">
        <f>IF(B29&gt;0,B29,C29)</f>
        <v>0</v>
      </c>
      <c r="G29" s="17" t="s">
        <v>107</v>
      </c>
      <c r="H29" s="22"/>
      <c r="I29" s="32">
        <f>D22</f>
        <v>0</v>
      </c>
      <c r="J29" s="22">
        <f>IF(H29&gt;0,H29,I29)</f>
        <v>0</v>
      </c>
    </row>
    <row r="30" spans="1:10" x14ac:dyDescent="0.25">
      <c r="G30" s="17" t="s">
        <v>0</v>
      </c>
      <c r="H30" s="22"/>
      <c r="I30" s="23">
        <f>AVERAGE(J29,J31)</f>
        <v>3541200</v>
      </c>
      <c r="J30" s="22">
        <f>IF(H30&gt;0,H30,I30)</f>
        <v>3541200</v>
      </c>
    </row>
    <row r="31" spans="1:10" x14ac:dyDescent="0.25">
      <c r="A31" s="6" t="s">
        <v>57</v>
      </c>
      <c r="B31" s="3" t="s">
        <v>151</v>
      </c>
      <c r="G31" s="17" t="s">
        <v>118</v>
      </c>
      <c r="H31" s="22"/>
      <c r="I31" s="23">
        <f>J29+'Sistemas de costeo'!D16</f>
        <v>7082400</v>
      </c>
      <c r="J31" s="22">
        <f>IF(H31&gt;0,H31,I31)</f>
        <v>7082400</v>
      </c>
    </row>
    <row r="33" spans="1:4" x14ac:dyDescent="0.25">
      <c r="A33" s="6" t="s">
        <v>23</v>
      </c>
      <c r="B33" s="6" t="s">
        <v>12</v>
      </c>
      <c r="C33" s="6" t="s">
        <v>11</v>
      </c>
      <c r="D33" s="6" t="s">
        <v>45</v>
      </c>
    </row>
    <row r="34" spans="1:4" x14ac:dyDescent="0.25">
      <c r="A34" s="5" t="s">
        <v>24</v>
      </c>
      <c r="B34" s="5">
        <v>1200000</v>
      </c>
      <c r="C34" s="5">
        <f>J18/J17</f>
        <v>1200000</v>
      </c>
      <c r="D34" s="5">
        <f>IF(B34&gt;0,B34,C34)</f>
        <v>1200000</v>
      </c>
    </row>
    <row r="35" spans="1:4" x14ac:dyDescent="0.25">
      <c r="A35" s="5" t="s">
        <v>52</v>
      </c>
      <c r="B35" s="5">
        <v>100000</v>
      </c>
      <c r="C35" s="3" t="s">
        <v>46</v>
      </c>
      <c r="D35" s="3" t="s">
        <v>46</v>
      </c>
    </row>
    <row r="36" spans="1:4" x14ac:dyDescent="0.25">
      <c r="A36" s="5" t="s">
        <v>25</v>
      </c>
      <c r="B36" s="5"/>
      <c r="C36" s="58">
        <f>'Sistemas de costeo'!D26+'Sistemas de costeo'!D27-'Sistemas de costeo'!D28</f>
        <v>1260000</v>
      </c>
      <c r="D36" s="58">
        <f>IF(B36&gt;0,B36,C36)</f>
        <v>1260000</v>
      </c>
    </row>
    <row r="37" spans="1:4" x14ac:dyDescent="0.25">
      <c r="A37" s="5" t="s">
        <v>59</v>
      </c>
      <c r="B37" s="10">
        <v>22</v>
      </c>
      <c r="C37" s="11" t="s">
        <v>46</v>
      </c>
      <c r="D37" s="11" t="s">
        <v>46</v>
      </c>
    </row>
    <row r="38" spans="1:4" x14ac:dyDescent="0.25">
      <c r="A38" s="14" t="s">
        <v>148</v>
      </c>
      <c r="B38" s="5"/>
      <c r="C38" s="5">
        <f>'Sistemas de costeo'!D21+'Sistemas de costeo'!D22-'Sistemas de costeo'!D23</f>
        <v>1250000</v>
      </c>
      <c r="D38" s="5"/>
    </row>
  </sheetData>
  <dataValidations disablePrompts="1" count="1">
    <dataValidation type="list" allowBlank="1" showInputMessage="1" showErrorMessage="1" sqref="B31" xr:uid="{00000000-0002-0000-0100-000000000000}">
      <formula1>"FIFO,LIFO,PPP"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8"/>
  <sheetViews>
    <sheetView tabSelected="1" workbookViewId="0">
      <selection activeCell="F17" sqref="F17"/>
    </sheetView>
  </sheetViews>
  <sheetFormatPr baseColWidth="10" defaultRowHeight="15" x14ac:dyDescent="0.25"/>
  <cols>
    <col min="1" max="1" width="35.85546875" customWidth="1"/>
    <col min="2" max="3" width="14.140625" customWidth="1"/>
    <col min="4" max="4" width="14" customWidth="1"/>
    <col min="5" max="5" width="35.85546875" customWidth="1"/>
    <col min="6" max="6" width="14.140625" customWidth="1"/>
    <col min="7" max="7" width="14.7109375" customWidth="1"/>
    <col min="8" max="8" width="15" customWidth="1"/>
  </cols>
  <sheetData>
    <row r="2" spans="1:8" x14ac:dyDescent="0.25">
      <c r="A2" s="6" t="s">
        <v>61</v>
      </c>
      <c r="B2" s="3" t="s">
        <v>149</v>
      </c>
    </row>
    <row r="3" spans="1:8" x14ac:dyDescent="0.25">
      <c r="A3" s="30"/>
      <c r="B3" s="30"/>
    </row>
    <row r="4" spans="1:8" x14ac:dyDescent="0.25">
      <c r="A4" s="50" t="s">
        <v>37</v>
      </c>
      <c r="B4" s="50"/>
      <c r="C4" s="50"/>
      <c r="D4" s="50"/>
      <c r="E4" s="50" t="s">
        <v>38</v>
      </c>
      <c r="F4" s="50"/>
      <c r="G4" s="50"/>
      <c r="H4" s="50"/>
    </row>
    <row r="5" spans="1:8" x14ac:dyDescent="0.25">
      <c r="A5" s="6" t="s">
        <v>32</v>
      </c>
      <c r="B5" s="6" t="s">
        <v>12</v>
      </c>
      <c r="C5" s="6" t="s">
        <v>11</v>
      </c>
      <c r="D5" s="6" t="s">
        <v>45</v>
      </c>
      <c r="E5" s="6" t="s">
        <v>32</v>
      </c>
      <c r="F5" s="6" t="s">
        <v>12</v>
      </c>
      <c r="G5" s="6" t="s">
        <v>11</v>
      </c>
      <c r="H5" s="6" t="s">
        <v>45</v>
      </c>
    </row>
    <row r="6" spans="1:8" x14ac:dyDescent="0.25">
      <c r="A6" s="14" t="s">
        <v>39</v>
      </c>
      <c r="B6" s="22"/>
      <c r="C6" s="22">
        <f>'Cuentas y Costos'!D19</f>
        <v>27720000</v>
      </c>
      <c r="D6" s="22">
        <f t="shared" ref="D6:D13" si="0">IF(B6&gt;0,B6,C6)</f>
        <v>27720000</v>
      </c>
      <c r="E6" s="5" t="s">
        <v>39</v>
      </c>
      <c r="F6" s="10"/>
      <c r="G6" s="10">
        <f>'Cuentas y Costos'!D19</f>
        <v>27720000</v>
      </c>
      <c r="H6" s="10">
        <f t="shared" ref="H6" si="1">IF(F6&gt;0,F6,G6)</f>
        <v>27720000</v>
      </c>
    </row>
    <row r="7" spans="1:8" x14ac:dyDescent="0.25">
      <c r="A7" s="14" t="s">
        <v>36</v>
      </c>
      <c r="B7" s="22"/>
      <c r="C7" s="22">
        <f>'Cuentas y Costos'!J20</f>
        <v>15275000</v>
      </c>
      <c r="D7" s="22">
        <f>IF(B7&gt;0,B7,C7)</f>
        <v>15275000</v>
      </c>
      <c r="E7" s="5" t="s">
        <v>36</v>
      </c>
      <c r="F7" s="10"/>
      <c r="G7" s="10">
        <f>'Cuentas y Costos'!J20</f>
        <v>15275000</v>
      </c>
      <c r="H7" s="10">
        <f>IF(F7&gt;0,F7,G7)</f>
        <v>15275000</v>
      </c>
    </row>
    <row r="8" spans="1:8" x14ac:dyDescent="0.25">
      <c r="A8" s="14" t="s">
        <v>40</v>
      </c>
      <c r="B8" s="22"/>
      <c r="C8" s="22">
        <f>'Cuentas y Costos'!J3</f>
        <v>400000</v>
      </c>
      <c r="D8" s="22">
        <f t="shared" si="0"/>
        <v>400000</v>
      </c>
      <c r="E8" s="14" t="s">
        <v>60</v>
      </c>
      <c r="F8" s="10"/>
      <c r="G8" s="10">
        <f>H6-H7</f>
        <v>12445000</v>
      </c>
      <c r="H8" s="10">
        <f>IF(F8&gt;0,F8,G8)</f>
        <v>12445000</v>
      </c>
    </row>
    <row r="9" spans="1:8" x14ac:dyDescent="0.25">
      <c r="A9" s="14" t="s">
        <v>41</v>
      </c>
      <c r="B9" s="22"/>
      <c r="C9" s="22">
        <f>D6-D7-D8</f>
        <v>12045000</v>
      </c>
      <c r="D9" s="23">
        <f>IF(B9&gt;0,B9,C9)</f>
        <v>12045000</v>
      </c>
      <c r="E9" s="14" t="s">
        <v>42</v>
      </c>
      <c r="F9" s="10"/>
      <c r="G9" s="10">
        <f>'Cuentas y Costos'!J10-'Cuentas y Costos'!J6</f>
        <v>484000</v>
      </c>
      <c r="H9" s="10">
        <f>IF(F9&gt;0,F9,G9)</f>
        <v>484000</v>
      </c>
    </row>
    <row r="10" spans="1:8" x14ac:dyDescent="0.25">
      <c r="A10" s="14" t="s">
        <v>42</v>
      </c>
      <c r="B10" s="22"/>
      <c r="C10" s="22">
        <f>'Cuentas y Costos'!J10</f>
        <v>849000</v>
      </c>
      <c r="D10" s="22">
        <f t="shared" si="0"/>
        <v>849000</v>
      </c>
      <c r="E10" s="14" t="s">
        <v>43</v>
      </c>
      <c r="F10" s="10"/>
      <c r="G10" s="10">
        <f>'Cuentas y Costos'!J9-'Cuentas y Costos'!J5</f>
        <v>400000</v>
      </c>
      <c r="H10" s="10">
        <f>IF(F10&gt;0,F10,G10)</f>
        <v>400000</v>
      </c>
    </row>
    <row r="11" spans="1:8" x14ac:dyDescent="0.25">
      <c r="A11" s="14" t="s">
        <v>43</v>
      </c>
      <c r="B11" s="22"/>
      <c r="C11" s="22">
        <f>'Cuentas y Costos'!J9-D8</f>
        <v>300000</v>
      </c>
      <c r="D11" s="22">
        <f t="shared" si="0"/>
        <v>300000</v>
      </c>
      <c r="E11" s="14" t="s">
        <v>44</v>
      </c>
      <c r="F11" s="10"/>
      <c r="G11" s="10">
        <f>H8-H9-H10</f>
        <v>11561000</v>
      </c>
      <c r="H11" s="10">
        <f>IF(F11&gt;0,F11,G11)</f>
        <v>11561000</v>
      </c>
    </row>
    <row r="12" spans="1:8" x14ac:dyDescent="0.25">
      <c r="A12" s="14" t="s">
        <v>44</v>
      </c>
      <c r="B12" s="22"/>
      <c r="C12" s="22">
        <f>D9-D10-D11</f>
        <v>10896000</v>
      </c>
      <c r="D12" s="23">
        <f>IF(B12&gt;0,B12,C12)</f>
        <v>10896000</v>
      </c>
      <c r="E12" s="5" t="s">
        <v>47</v>
      </c>
      <c r="F12" s="10"/>
      <c r="G12" s="10">
        <f>'Cuentas y Costos'!D20</f>
        <v>0</v>
      </c>
      <c r="H12" s="9">
        <f>IF(F12&gt;0,F12,G12)</f>
        <v>0</v>
      </c>
    </row>
    <row r="13" spans="1:8" x14ac:dyDescent="0.25">
      <c r="A13" s="14" t="s">
        <v>47</v>
      </c>
      <c r="B13" s="22"/>
      <c r="C13" s="22">
        <f>'Cuentas y Costos'!D20</f>
        <v>0</v>
      </c>
      <c r="D13" s="23">
        <f t="shared" si="0"/>
        <v>0</v>
      </c>
      <c r="E13" s="5" t="s">
        <v>49</v>
      </c>
      <c r="F13" s="10"/>
      <c r="G13" s="10">
        <f>H11-H12</f>
        <v>11561000</v>
      </c>
      <c r="H13" s="9">
        <f>IF(F13&gt;0,F13,G13)</f>
        <v>11561000</v>
      </c>
    </row>
    <row r="14" spans="1:8" x14ac:dyDescent="0.25">
      <c r="A14" s="14" t="s">
        <v>49</v>
      </c>
      <c r="B14" s="22"/>
      <c r="C14" s="22">
        <f>D12-D13</f>
        <v>10896000</v>
      </c>
      <c r="D14" s="23">
        <f>IF(B14&gt;0,B14,C14)</f>
        <v>10896000</v>
      </c>
      <c r="E14" s="5" t="s">
        <v>50</v>
      </c>
      <c r="F14" s="12">
        <f>'Cuentas y Costos'!B25</f>
        <v>0.35</v>
      </c>
      <c r="G14" s="13" t="s">
        <v>46</v>
      </c>
      <c r="H14" s="13" t="s">
        <v>46</v>
      </c>
    </row>
    <row r="15" spans="1:8" x14ac:dyDescent="0.25">
      <c r="A15" s="14" t="s">
        <v>50</v>
      </c>
      <c r="B15" s="21">
        <f>'Cuentas y Costos'!B25</f>
        <v>0.35</v>
      </c>
      <c r="C15" s="24" t="s">
        <v>46</v>
      </c>
      <c r="D15" s="24" t="s">
        <v>46</v>
      </c>
      <c r="E15" s="45" t="s">
        <v>119</v>
      </c>
      <c r="F15" s="46"/>
      <c r="G15" s="46">
        <f>H13-(H13*F14)</f>
        <v>7514650</v>
      </c>
      <c r="H15" s="47">
        <f>IF(F15&gt;0,F15,G15)</f>
        <v>7514650</v>
      </c>
    </row>
    <row r="16" spans="1:8" x14ac:dyDescent="0.25">
      <c r="A16" s="14" t="s">
        <v>119</v>
      </c>
      <c r="B16" s="22"/>
      <c r="C16" s="22">
        <f>D14-(D14*B15)</f>
        <v>7082400</v>
      </c>
      <c r="D16" s="23">
        <f>IF(B16&gt;0,B16,C16)</f>
        <v>7082400</v>
      </c>
      <c r="E16" s="5" t="s">
        <v>56</v>
      </c>
      <c r="F16" s="10"/>
      <c r="G16" s="10">
        <f>('Cuentas y Costos'!J17+('Cuentas y Costos'!J6/'Cuentas y Costos'!B34))*('Cuentas y Costos'!B35+'Cuentas y Costos'!B34-'Cuentas y Costos'!B36)</f>
        <v>16163333.333333334</v>
      </c>
      <c r="H16" s="10">
        <f>IF(F16&gt;0,F16,G16)</f>
        <v>16163333.333333334</v>
      </c>
    </row>
    <row r="17" spans="1:4" x14ac:dyDescent="0.25">
      <c r="A17" s="14" t="s">
        <v>56</v>
      </c>
      <c r="B17" s="22"/>
      <c r="C17" s="22">
        <f>IF('Cuentas y Costos'!B31="FIFO",IF('Cuentas y Costos'!B35&gt;'Cuentas y Costos'!D36,('Cuentas y Costos'!B35-'Cuentas y Costos'!D36)*'Cuentas y Costos'!J15,('Cuentas y Costos'!B34-('Cuentas y Costos'!D36-'Cuentas y Costos'!B35))*'Cuentas y Costos'!J17),IF('Cuentas y Costos'!B31="LIFO",IF('Cuentas y Costos'!B34&gt;'Cuentas y Costos'!D36,('Cuentas y Costos'!B34-'Cuentas y Costos'!D36)*'Cuentas y Costos'!J17,('Cuentas y Costos'!B35-('Cuentas y Costos'!D36-'Cuentas y Costos'!B34))*'Cuentas y Costos'!J15)))</f>
        <v>480000</v>
      </c>
      <c r="D17" s="22">
        <f>IF(B17&gt;0,B17,C17)</f>
        <v>480000</v>
      </c>
    </row>
    <row r="20" spans="1:4" x14ac:dyDescent="0.25">
      <c r="A20" s="6" t="s">
        <v>160</v>
      </c>
      <c r="B20" s="6" t="s">
        <v>144</v>
      </c>
      <c r="C20" s="6" t="s">
        <v>11</v>
      </c>
      <c r="D20" s="6" t="s">
        <v>45</v>
      </c>
    </row>
    <row r="21" spans="1:4" x14ac:dyDescent="0.25">
      <c r="A21" s="5" t="s">
        <v>145</v>
      </c>
      <c r="B21" s="5">
        <v>100000</v>
      </c>
      <c r="C21" s="5"/>
      <c r="D21" s="5">
        <f>IF(B21&gt;0,B21,C21)</f>
        <v>100000</v>
      </c>
    </row>
    <row r="22" spans="1:4" x14ac:dyDescent="0.25">
      <c r="A22" s="5" t="s">
        <v>146</v>
      </c>
      <c r="B22" s="5">
        <v>1200000</v>
      </c>
      <c r="C22" s="5"/>
      <c r="D22" s="5">
        <f>IF(B22&gt;0,B22,C22)</f>
        <v>1200000</v>
      </c>
    </row>
    <row r="23" spans="1:4" x14ac:dyDescent="0.25">
      <c r="A23" s="5" t="s">
        <v>147</v>
      </c>
      <c r="B23" s="5">
        <v>50000</v>
      </c>
      <c r="C23" s="5"/>
      <c r="D23" s="5">
        <f>IF(B23&gt;0,B23,C23)</f>
        <v>50000</v>
      </c>
    </row>
    <row r="24" spans="1:4" x14ac:dyDescent="0.25">
      <c r="A24" s="5" t="s">
        <v>162</v>
      </c>
      <c r="B24" s="10">
        <v>9</v>
      </c>
      <c r="C24" s="10"/>
      <c r="D24" s="10">
        <f>IF(B24&gt;0,B24,C24)</f>
        <v>9</v>
      </c>
    </row>
    <row r="25" spans="1:4" x14ac:dyDescent="0.25">
      <c r="A25" s="5" t="s">
        <v>161</v>
      </c>
      <c r="B25" s="10">
        <v>9.6999999999999993</v>
      </c>
      <c r="C25" s="10"/>
      <c r="D25" s="10">
        <f>IF(B25&gt;0,B25,C25)</f>
        <v>9.6999999999999993</v>
      </c>
    </row>
    <row r="26" spans="1:4" x14ac:dyDescent="0.25">
      <c r="A26" s="5" t="s">
        <v>154</v>
      </c>
      <c r="B26" s="5">
        <v>100000</v>
      </c>
      <c r="C26" s="5"/>
      <c r="D26" s="5">
        <f>IF(B26&gt;0,B26,C26)</f>
        <v>100000</v>
      </c>
    </row>
    <row r="27" spans="1:4" x14ac:dyDescent="0.25">
      <c r="A27" s="5" t="s">
        <v>155</v>
      </c>
      <c r="B27" s="5">
        <v>1200000</v>
      </c>
      <c r="C27" s="5"/>
      <c r="D27" s="5">
        <f>IF(B27&gt;0,B27,C27)</f>
        <v>1200000</v>
      </c>
    </row>
    <row r="28" spans="1:4" x14ac:dyDescent="0.25">
      <c r="A28" s="5" t="s">
        <v>156</v>
      </c>
      <c r="B28" s="5">
        <v>40000</v>
      </c>
      <c r="C28" s="5"/>
      <c r="D28" s="5">
        <f>IF(B28&gt;0,B28,C28)</f>
        <v>40000</v>
      </c>
    </row>
  </sheetData>
  <mergeCells count="2">
    <mergeCell ref="A4:D4"/>
    <mergeCell ref="E4:H4"/>
  </mergeCells>
  <dataValidations count="2">
    <dataValidation type="list" allowBlank="1" showInputMessage="1" showErrorMessage="1" sqref="B2" xr:uid="{00000000-0002-0000-0200-000000000000}">
      <formula1>"DIRECTO,ABSORCIÓN"</formula1>
    </dataValidation>
    <dataValidation type="list" allowBlank="1" showInputMessage="1" showErrorMessage="1" sqref="B3" xr:uid="{E84E802A-1A4A-4E29-A8F8-979D4303F5A7}">
      <formula1>"FIFO,LIFO,PPP"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D6" sqref="D6"/>
    </sheetView>
  </sheetViews>
  <sheetFormatPr baseColWidth="10" defaultRowHeight="15" x14ac:dyDescent="0.25"/>
  <cols>
    <col min="1" max="1" width="35.85546875" customWidth="1"/>
    <col min="2" max="2" width="14.140625" customWidth="1"/>
    <col min="7" max="7" width="16.5703125" customWidth="1"/>
    <col min="8" max="8" width="12.7109375" customWidth="1"/>
    <col min="9" max="9" width="12.5703125" customWidth="1"/>
  </cols>
  <sheetData>
    <row r="1" spans="1:13" x14ac:dyDescent="0.25">
      <c r="G1" s="2"/>
      <c r="H1" s="2"/>
      <c r="I1" s="2"/>
      <c r="J1" s="2"/>
    </row>
    <row r="2" spans="1:13" x14ac:dyDescent="0.25">
      <c r="A2" s="6" t="s">
        <v>32</v>
      </c>
      <c r="B2" s="6" t="s">
        <v>12</v>
      </c>
      <c r="C2" s="6" t="s">
        <v>11</v>
      </c>
      <c r="D2" s="6" t="s">
        <v>45</v>
      </c>
    </row>
    <row r="3" spans="1:13" x14ac:dyDescent="0.25">
      <c r="A3" s="4" t="s">
        <v>34</v>
      </c>
      <c r="B3" s="10"/>
      <c r="C3" s="10">
        <f>'Cuentas y Costos'!D3+'Cuentas y Costos'!D4</f>
        <v>0</v>
      </c>
      <c r="D3" s="10">
        <f>IF(B3&gt;0,B3,C3)</f>
        <v>0</v>
      </c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A4" s="17" t="s">
        <v>6</v>
      </c>
      <c r="B4" s="20"/>
      <c r="C4" s="20">
        <f>IFERROR(D3/'Cuentas y Costos'!J24, 0)</f>
        <v>0</v>
      </c>
      <c r="D4" s="20">
        <f t="shared" ref="D4:D9" si="0">IF(B4&gt;0,B4,C4)</f>
        <v>0</v>
      </c>
      <c r="E4" s="18"/>
      <c r="F4" s="18"/>
      <c r="G4" s="18"/>
      <c r="H4" s="18"/>
      <c r="I4" s="18"/>
      <c r="J4" s="18"/>
      <c r="K4" s="18"/>
      <c r="L4" s="18"/>
      <c r="M4" s="18"/>
    </row>
    <row r="5" spans="1:13" x14ac:dyDescent="0.25">
      <c r="A5" s="17" t="s">
        <v>8</v>
      </c>
      <c r="B5" s="20"/>
      <c r="C5" s="20">
        <f>IFERROR(('Cuentas y Costos'!D5+D3)/'Cuentas y Costos'!J24,0)</f>
        <v>0</v>
      </c>
      <c r="D5" s="20">
        <f t="shared" si="0"/>
        <v>0</v>
      </c>
      <c r="E5" s="18"/>
      <c r="F5" s="18"/>
      <c r="G5" s="18"/>
      <c r="H5" s="18"/>
      <c r="I5" s="18"/>
      <c r="J5" s="18"/>
      <c r="K5" s="18"/>
      <c r="L5" s="18"/>
      <c r="M5" s="18"/>
    </row>
    <row r="6" spans="1:13" x14ac:dyDescent="0.25">
      <c r="A6" s="17" t="s">
        <v>35</v>
      </c>
      <c r="B6" s="20"/>
      <c r="C6" s="20">
        <f>IFERROR('Cuentas y Costos'!J25/'Cuentas y Costos'!J28,0)</f>
        <v>0</v>
      </c>
      <c r="D6" s="20">
        <f t="shared" si="0"/>
        <v>0</v>
      </c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25">
      <c r="A7" s="17" t="s">
        <v>5</v>
      </c>
      <c r="B7" s="21"/>
      <c r="C7" s="21">
        <f>IFERROR(IF('Sistemas de costeo'!B2="DIRECTO",'Sistemas de costeo'!D16,'Sistemas de costeo'!H15)/'Cuentas y Costos'!D19,0)</f>
        <v>0.27109126984126986</v>
      </c>
      <c r="D7" s="21">
        <f t="shared" si="0"/>
        <v>0.27109126984126986</v>
      </c>
      <c r="E7" s="18"/>
      <c r="F7" s="18"/>
      <c r="G7" s="18"/>
      <c r="H7" s="18"/>
      <c r="I7" s="18"/>
      <c r="J7" s="18"/>
      <c r="K7" s="18"/>
      <c r="L7" s="18"/>
      <c r="M7" s="18"/>
    </row>
    <row r="8" spans="1:13" x14ac:dyDescent="0.25">
      <c r="A8" s="17" t="s">
        <v>4</v>
      </c>
      <c r="B8" s="20"/>
      <c r="C8" s="20">
        <f>IFERROR('Cuentas y Costos'!D19/'Cuentas y Costos'!J30,0)</f>
        <v>7.8278549644188411</v>
      </c>
      <c r="D8" s="20">
        <f t="shared" si="0"/>
        <v>7.8278549644188411</v>
      </c>
      <c r="E8" s="18"/>
      <c r="F8" s="18"/>
      <c r="G8" s="18"/>
      <c r="H8" s="18"/>
      <c r="I8" s="18"/>
      <c r="J8" s="18"/>
      <c r="K8" s="18"/>
      <c r="L8" s="18"/>
      <c r="M8" s="18"/>
    </row>
    <row r="9" spans="1:13" x14ac:dyDescent="0.25">
      <c r="A9" s="17" t="s">
        <v>51</v>
      </c>
      <c r="B9" s="21"/>
      <c r="C9" s="21">
        <f>D7*D8</f>
        <v>2.1220631424375918</v>
      </c>
      <c r="D9" s="21">
        <f t="shared" si="0"/>
        <v>2.1220631424375918</v>
      </c>
      <c r="E9" s="18"/>
      <c r="F9" s="18"/>
      <c r="G9" s="18"/>
      <c r="H9" s="18"/>
      <c r="I9" s="18"/>
      <c r="J9" s="18"/>
      <c r="K9" s="18"/>
      <c r="L9" s="18"/>
      <c r="M9" s="18"/>
    </row>
    <row r="10" spans="1:13" x14ac:dyDescent="0.25">
      <c r="A10" s="17" t="s">
        <v>7</v>
      </c>
      <c r="B10" s="20"/>
      <c r="C10" s="31">
        <f>IFERROR('Cuentas y Costos'!D19/'Cuentas y Costos'!J27,0)</f>
        <v>0</v>
      </c>
      <c r="D10" s="20">
        <f>IF(B10&gt;0,B10,C10)</f>
        <v>0</v>
      </c>
    </row>
    <row r="11" spans="1:13" x14ac:dyDescent="0.25">
      <c r="A11" s="17" t="s">
        <v>108</v>
      </c>
      <c r="B11" s="21"/>
      <c r="C11" s="21">
        <f>IFERROR(D7*('Cuentas y Costos'!D19/'Cuentas y Costos'!J28),0)</f>
        <v>0</v>
      </c>
      <c r="D11" s="21">
        <f>IF(B11&gt;0,B11,C11)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5"/>
  <sheetViews>
    <sheetView workbookViewId="0">
      <selection activeCell="A8" sqref="A8"/>
    </sheetView>
  </sheetViews>
  <sheetFormatPr baseColWidth="10" defaultRowHeight="15" x14ac:dyDescent="0.25"/>
  <cols>
    <col min="1" max="1" width="44.85546875" customWidth="1"/>
    <col min="3" max="3" width="14.140625" customWidth="1"/>
    <col min="5" max="5" width="11.42578125" customWidth="1"/>
    <col min="6" max="6" width="49.5703125" customWidth="1"/>
    <col min="7" max="8" width="14.140625" customWidth="1"/>
  </cols>
  <sheetData>
    <row r="2" spans="1:8" x14ac:dyDescent="0.25">
      <c r="A2" s="6" t="s">
        <v>62</v>
      </c>
      <c r="B2" s="12"/>
      <c r="F2" s="6" t="s">
        <v>75</v>
      </c>
      <c r="G2" s="5"/>
      <c r="H2" s="5"/>
    </row>
    <row r="3" spans="1:8" x14ac:dyDescent="0.25">
      <c r="F3" s="6" t="s">
        <v>76</v>
      </c>
      <c r="G3" s="5"/>
      <c r="H3" s="5"/>
    </row>
    <row r="4" spans="1:8" x14ac:dyDescent="0.25">
      <c r="A4" s="6" t="s">
        <v>73</v>
      </c>
      <c r="B4" s="6" t="s">
        <v>63</v>
      </c>
      <c r="C4" s="6" t="s">
        <v>31</v>
      </c>
      <c r="D4" s="6" t="s">
        <v>76</v>
      </c>
      <c r="F4" s="6" t="s">
        <v>77</v>
      </c>
      <c r="G4" s="10">
        <f>SUMIF(D5:D14,G3,C5:C14)</f>
        <v>0</v>
      </c>
      <c r="H4" s="10">
        <f>SUMIF(D5:D14,H3,C5:C14)</f>
        <v>0</v>
      </c>
    </row>
    <row r="5" spans="1:8" x14ac:dyDescent="0.25">
      <c r="A5" s="5" t="s">
        <v>64</v>
      </c>
      <c r="B5" s="3" t="s">
        <v>74</v>
      </c>
      <c r="C5" s="10"/>
      <c r="D5" s="5"/>
      <c r="F5" s="6" t="s">
        <v>78</v>
      </c>
      <c r="G5" s="10">
        <f>G4</f>
        <v>0</v>
      </c>
      <c r="H5" s="10">
        <f>G5+H4</f>
        <v>0</v>
      </c>
    </row>
    <row r="6" spans="1:8" x14ac:dyDescent="0.25">
      <c r="A6" s="5" t="s">
        <v>65</v>
      </c>
      <c r="B6" s="3" t="s">
        <v>46</v>
      </c>
      <c r="C6" s="10"/>
      <c r="D6" s="5"/>
      <c r="F6" s="6" t="s">
        <v>79</v>
      </c>
      <c r="G6" s="53">
        <f>ABS(C6+C7+C10)</f>
        <v>0</v>
      </c>
      <c r="H6" s="54"/>
    </row>
    <row r="7" spans="1:8" x14ac:dyDescent="0.25">
      <c r="A7" s="5" t="s">
        <v>66</v>
      </c>
      <c r="B7" s="3" t="s">
        <v>46</v>
      </c>
      <c r="C7" s="10"/>
      <c r="D7" s="5"/>
      <c r="F7" s="6" t="s">
        <v>86</v>
      </c>
      <c r="G7" s="53">
        <f>G14</f>
        <v>0</v>
      </c>
      <c r="H7" s="55"/>
    </row>
    <row r="8" spans="1:8" x14ac:dyDescent="0.25">
      <c r="A8" s="5" t="s">
        <v>67</v>
      </c>
      <c r="B8" s="3" t="s">
        <v>74</v>
      </c>
      <c r="C8" s="10"/>
      <c r="D8" s="5"/>
      <c r="F8" s="6" t="s">
        <v>80</v>
      </c>
      <c r="G8" s="56">
        <f>IFERROR(IRR(G4:H4),0)</f>
        <v>0</v>
      </c>
      <c r="H8" s="55"/>
    </row>
    <row r="9" spans="1:8" x14ac:dyDescent="0.25">
      <c r="A9" s="5" t="s">
        <v>68</v>
      </c>
      <c r="B9" s="3" t="s">
        <v>46</v>
      </c>
      <c r="C9" s="10"/>
      <c r="D9" s="5"/>
      <c r="F9" s="6" t="s">
        <v>87</v>
      </c>
      <c r="G9" s="53">
        <f>G14-G15</f>
        <v>0</v>
      </c>
      <c r="H9" s="55"/>
    </row>
    <row r="10" spans="1:8" x14ac:dyDescent="0.25">
      <c r="A10" s="5" t="s">
        <v>69</v>
      </c>
      <c r="B10" s="3" t="s">
        <v>46</v>
      </c>
      <c r="C10" s="10"/>
      <c r="D10" s="5"/>
      <c r="F10" s="6" t="s">
        <v>81</v>
      </c>
      <c r="G10" s="57">
        <f>IFERROR(H5/G6,0)</f>
        <v>0</v>
      </c>
      <c r="H10" s="55"/>
    </row>
    <row r="11" spans="1:8" x14ac:dyDescent="0.25">
      <c r="A11" s="5" t="s">
        <v>70</v>
      </c>
      <c r="B11" s="3" t="s">
        <v>74</v>
      </c>
      <c r="C11" s="10"/>
      <c r="D11" s="5"/>
      <c r="F11" s="6" t="s">
        <v>82</v>
      </c>
      <c r="G11" s="51">
        <f>IFERROR(G6/G7,0)</f>
        <v>0</v>
      </c>
      <c r="H11" s="52"/>
    </row>
    <row r="12" spans="1:8" x14ac:dyDescent="0.25">
      <c r="A12" s="5" t="s">
        <v>71</v>
      </c>
      <c r="B12" s="3" t="s">
        <v>74</v>
      </c>
      <c r="C12" s="10"/>
      <c r="D12" s="5"/>
    </row>
    <row r="13" spans="1:8" x14ac:dyDescent="0.25">
      <c r="A13" s="5" t="s">
        <v>72</v>
      </c>
      <c r="B13" s="3" t="s">
        <v>74</v>
      </c>
      <c r="C13" s="10"/>
      <c r="D13" s="5"/>
      <c r="F13" s="6" t="s">
        <v>83</v>
      </c>
      <c r="G13" s="6" t="s">
        <v>84</v>
      </c>
    </row>
    <row r="14" spans="1:8" x14ac:dyDescent="0.25">
      <c r="A14" s="5" t="s">
        <v>50</v>
      </c>
      <c r="B14" s="3" t="s">
        <v>46</v>
      </c>
      <c r="C14" s="10"/>
      <c r="D14" s="5"/>
      <c r="F14" s="15">
        <v>0</v>
      </c>
      <c r="G14" s="10">
        <f>(G4/((1+(1*F14))^G3)+(H4/((1+(1*F14))^H3)))</f>
        <v>0</v>
      </c>
    </row>
    <row r="15" spans="1:8" x14ac:dyDescent="0.25">
      <c r="A15" s="14" t="s">
        <v>85</v>
      </c>
      <c r="B15" s="8" t="s">
        <v>74</v>
      </c>
      <c r="C15" s="5"/>
      <c r="D15" s="5"/>
      <c r="F15" s="15">
        <f>B2</f>
        <v>0</v>
      </c>
      <c r="G15" s="10">
        <f>(G4/((1+(1*F15))^G3)+(H4/((1+(1*F15))^H3)))</f>
        <v>0</v>
      </c>
    </row>
  </sheetData>
  <mergeCells count="6">
    <mergeCell ref="G11:H11"/>
    <mergeCell ref="G6:H6"/>
    <mergeCell ref="G7:H7"/>
    <mergeCell ref="G8:H8"/>
    <mergeCell ref="G9:H9"/>
    <mergeCell ref="G10:H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0"/>
  <sheetViews>
    <sheetView workbookViewId="0">
      <selection activeCell="E6" sqref="E6"/>
    </sheetView>
  </sheetViews>
  <sheetFormatPr baseColWidth="10" defaultRowHeight="15" x14ac:dyDescent="0.25"/>
  <cols>
    <col min="1" max="1" width="22.85546875" customWidth="1"/>
    <col min="2" max="4" width="14.140625" customWidth="1"/>
    <col min="8" max="8" width="11.85546875" bestFit="1" customWidth="1"/>
    <col min="9" max="9" width="14.140625" customWidth="1"/>
  </cols>
  <sheetData>
    <row r="2" spans="1:9" x14ac:dyDescent="0.25">
      <c r="A2" s="6" t="s">
        <v>88</v>
      </c>
      <c r="B2" s="3" t="s">
        <v>89</v>
      </c>
      <c r="G2" s="6" t="s">
        <v>96</v>
      </c>
      <c r="H2" s="6" t="s">
        <v>97</v>
      </c>
      <c r="I2" s="6" t="s">
        <v>98</v>
      </c>
    </row>
    <row r="3" spans="1:9" x14ac:dyDescent="0.25">
      <c r="G3" s="3">
        <v>1</v>
      </c>
      <c r="H3" s="10">
        <f ca="1">IF(B2="LINEAL",D7/A10,IF(B2="CRECIENTE",D7*(G3/B10),D7*(G5/B10)))</f>
        <v>0</v>
      </c>
      <c r="I3" s="10">
        <f ca="1">D5-H3</f>
        <v>0</v>
      </c>
    </row>
    <row r="4" spans="1:9" x14ac:dyDescent="0.25">
      <c r="A4" s="6" t="s">
        <v>90</v>
      </c>
      <c r="B4" s="6" t="s">
        <v>12</v>
      </c>
      <c r="C4" s="6" t="s">
        <v>11</v>
      </c>
      <c r="D4" s="6" t="s">
        <v>45</v>
      </c>
      <c r="G4" s="3">
        <v>2</v>
      </c>
      <c r="H4" s="10">
        <f ca="1">IF(B2="LINEAL",D7/A10,IF(B2="CRECIENTE",D7*(G4/B10),D7*(G4/B10)))</f>
        <v>0</v>
      </c>
      <c r="I4" s="10">
        <f ca="1">I3-H4</f>
        <v>0</v>
      </c>
    </row>
    <row r="5" spans="1:9" x14ac:dyDescent="0.25">
      <c r="A5" s="5" t="s">
        <v>91</v>
      </c>
      <c r="B5" s="10"/>
      <c r="C5" s="10">
        <f ca="1">D7+D6</f>
        <v>0</v>
      </c>
      <c r="D5" s="10">
        <f ca="1">IF(B5&gt;0,B5,C5)</f>
        <v>0</v>
      </c>
      <c r="G5" s="3">
        <v>3</v>
      </c>
      <c r="H5" s="10">
        <f ca="1">IF(B2="LINEAL",D7/A10,IF(B2="CRECIENTE",D7*(G5/B10),D7*(G3/B10)))</f>
        <v>0</v>
      </c>
      <c r="I5" s="10">
        <f ca="1">I4-H5</f>
        <v>0</v>
      </c>
    </row>
    <row r="6" spans="1:9" x14ac:dyDescent="0.25">
      <c r="A6" s="5" t="s">
        <v>92</v>
      </c>
      <c r="B6" s="10"/>
      <c r="C6" s="10">
        <f ca="1">D5-D7</f>
        <v>0</v>
      </c>
      <c r="D6" s="10">
        <f t="shared" ref="D6:D7" ca="1" si="0">IF(B6&gt;0,B6,C6)</f>
        <v>0</v>
      </c>
    </row>
    <row r="7" spans="1:9" x14ac:dyDescent="0.25">
      <c r="A7" s="5" t="s">
        <v>93</v>
      </c>
      <c r="B7" s="10"/>
      <c r="C7" s="10">
        <f ca="1">D5-D6</f>
        <v>0</v>
      </c>
      <c r="D7" s="10">
        <f t="shared" ca="1" si="0"/>
        <v>0</v>
      </c>
    </row>
    <row r="9" spans="1:9" x14ac:dyDescent="0.25">
      <c r="A9" s="6" t="s">
        <v>94</v>
      </c>
      <c r="B9" s="6" t="s">
        <v>95</v>
      </c>
    </row>
    <row r="10" spans="1:9" x14ac:dyDescent="0.25">
      <c r="A10" s="3"/>
      <c r="B10" s="3"/>
    </row>
  </sheetData>
  <dataValidations disablePrompts="1" count="1">
    <dataValidation type="list" allowBlank="1" showInputMessage="1" showErrorMessage="1" sqref="B2" xr:uid="{00000000-0002-0000-0500-000000000000}">
      <formula1>"LINEAL,CRECIENTE,DECRECIENTE"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Consigna</vt:lpstr>
      <vt:lpstr>Cuentas y Costos</vt:lpstr>
      <vt:lpstr>Sistemas de costeo</vt:lpstr>
      <vt:lpstr>Tablero de comando</vt:lpstr>
      <vt:lpstr>Proyectos de inversión</vt:lpstr>
      <vt:lpstr>Amortizaciones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</cp:lastModifiedBy>
  <dcterms:created xsi:type="dcterms:W3CDTF">2015-06-05T18:19:34Z</dcterms:created>
  <dcterms:modified xsi:type="dcterms:W3CDTF">2021-07-20T20:11:07Z</dcterms:modified>
</cp:coreProperties>
</file>