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Economía\Práctica de Parcial\Proyectos de Inversión\"/>
    </mc:Choice>
  </mc:AlternateContent>
  <xr:revisionPtr revIDLastSave="0" documentId="13_ncr:1_{B023BE2E-AA23-46F6-9D3E-498554C44FA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4" l="1"/>
  <c r="J18" i="4"/>
  <c r="I23" i="4"/>
  <c r="I18" i="4"/>
  <c r="H23" i="4"/>
  <c r="H18" i="4"/>
  <c r="G23" i="4"/>
  <c r="G15" i="4"/>
  <c r="G14" i="4"/>
  <c r="G18" i="4"/>
  <c r="F23" i="4"/>
  <c r="F24" i="4" s="1"/>
  <c r="F25" i="4" s="1"/>
  <c r="F26" i="4" s="1"/>
  <c r="F27" i="4" s="1"/>
  <c r="F22" i="4"/>
  <c r="F21" i="4"/>
  <c r="F20" i="4"/>
  <c r="F19" i="4"/>
  <c r="F18" i="4"/>
  <c r="E23" i="4"/>
  <c r="E24" i="4"/>
  <c r="E25" i="4"/>
  <c r="E26" i="4"/>
  <c r="E27" i="4"/>
  <c r="E19" i="4"/>
  <c r="E20" i="4"/>
  <c r="E21" i="4"/>
  <c r="E22" i="4"/>
  <c r="E18" i="4"/>
  <c r="G9" i="3"/>
  <c r="F14" i="3"/>
  <c r="B16" i="3"/>
  <c r="D25" i="3"/>
  <c r="D26" i="3"/>
  <c r="D29" i="3"/>
  <c r="D28" i="3"/>
  <c r="D27" i="3"/>
  <c r="D24" i="3"/>
  <c r="D23" i="3"/>
  <c r="D22" i="3"/>
  <c r="J16" i="1"/>
  <c r="C40" i="1" l="1"/>
  <c r="D40" i="1" s="1"/>
  <c r="I15" i="1" s="1"/>
  <c r="C38" i="1"/>
  <c r="D38" i="1" s="1"/>
  <c r="D6" i="1"/>
  <c r="D15" i="1"/>
  <c r="D14" i="1"/>
  <c r="D12" i="1"/>
  <c r="D11" i="1"/>
  <c r="D13" i="1"/>
  <c r="D10" i="1"/>
  <c r="D9" i="1"/>
  <c r="D8" i="1"/>
  <c r="D7" i="1"/>
  <c r="D21" i="1"/>
  <c r="D22" i="1"/>
  <c r="I31" i="1" s="1"/>
  <c r="J31" i="1" s="1"/>
  <c r="C19" i="1" l="1"/>
  <c r="J15" i="1"/>
  <c r="C17" i="1"/>
  <c r="D17" i="1" s="1"/>
  <c r="I28" i="1"/>
  <c r="J28" i="1" s="1"/>
  <c r="C16" i="1"/>
  <c r="D16" i="1" s="1"/>
  <c r="I26" i="1" s="1"/>
  <c r="J26" i="1" s="1"/>
  <c r="C30" i="1"/>
  <c r="D30" i="1" s="1"/>
  <c r="G6" i="4"/>
  <c r="H4" i="4"/>
  <c r="G4" i="4"/>
  <c r="G5" i="4" s="1"/>
  <c r="J5" i="1"/>
  <c r="J8" i="1"/>
  <c r="J9" i="1"/>
  <c r="J10" i="1"/>
  <c r="J3" i="1"/>
  <c r="I4" i="1" s="1"/>
  <c r="D4" i="1"/>
  <c r="D5" i="1"/>
  <c r="D20" i="1"/>
  <c r="D3" i="1"/>
  <c r="J4" i="1" l="1"/>
  <c r="I29" i="1"/>
  <c r="J29" i="1" s="1"/>
  <c r="I30" i="1" s="1"/>
  <c r="J30" i="1" s="1"/>
  <c r="C18" i="1"/>
  <c r="D18" i="1" s="1"/>
  <c r="C28" i="1" s="1"/>
  <c r="D28" i="1" s="1"/>
  <c r="C29" i="1" s="1"/>
  <c r="D29" i="1" s="1"/>
  <c r="C31" i="1" s="1"/>
  <c r="D31" i="1" s="1"/>
  <c r="I25" i="1"/>
  <c r="J25" i="1" s="1"/>
  <c r="I27" i="1" s="1"/>
  <c r="J27" i="1" s="1"/>
  <c r="H5" i="4"/>
  <c r="G8" i="4"/>
  <c r="G12" i="3"/>
  <c r="H12" i="3" s="1"/>
  <c r="C14" i="3"/>
  <c r="D14" i="3" s="1"/>
  <c r="C3" i="2"/>
  <c r="D3" i="2" s="1"/>
  <c r="C4" i="2" s="1"/>
  <c r="D4" i="2" s="1"/>
  <c r="C8" i="3"/>
  <c r="D8" i="3" s="1"/>
  <c r="I12" i="1"/>
  <c r="J12" i="1" s="1"/>
  <c r="C11" i="3" s="1"/>
  <c r="D19" i="1"/>
  <c r="G6" i="3" s="1"/>
  <c r="D11" i="3" l="1"/>
  <c r="H9" i="3"/>
  <c r="C6" i="2"/>
  <c r="D6" i="2" s="1"/>
  <c r="C10" i="2"/>
  <c r="D10" i="2" s="1"/>
  <c r="G7" i="4"/>
  <c r="G11" i="4" s="1"/>
  <c r="G9" i="4"/>
  <c r="C5" i="2"/>
  <c r="D5" i="2" s="1"/>
  <c r="H6" i="3"/>
  <c r="C6" i="3"/>
  <c r="D6" i="3" l="1"/>
  <c r="J17" i="1"/>
  <c r="I18" i="1" l="1"/>
  <c r="J18" i="1" s="1"/>
  <c r="D8" i="2"/>
  <c r="C8" i="2"/>
  <c r="J32" i="1"/>
  <c r="I32" i="1"/>
  <c r="J33" i="1"/>
  <c r="I33" i="1"/>
  <c r="D11" i="2"/>
  <c r="C11" i="2"/>
  <c r="D35" i="3"/>
  <c r="C35" i="3"/>
  <c r="D34" i="3"/>
  <c r="C34" i="3"/>
  <c r="J21" i="1"/>
  <c r="I21" i="1"/>
  <c r="I3" i="5"/>
  <c r="I4" i="5"/>
  <c r="I5" i="5"/>
  <c r="H16" i="3"/>
  <c r="G16" i="3"/>
  <c r="H15" i="3"/>
  <c r="G15" i="3"/>
  <c r="G7" i="3"/>
  <c r="H7" i="3"/>
  <c r="G8" i="3"/>
  <c r="H8" i="3"/>
  <c r="G11" i="3"/>
  <c r="H11" i="3"/>
  <c r="G13" i="3"/>
  <c r="H13" i="3"/>
  <c r="D9" i="2"/>
  <c r="I22" i="1"/>
  <c r="J22" i="1"/>
  <c r="C7" i="3"/>
  <c r="D7" i="3"/>
  <c r="C9" i="3"/>
  <c r="D9" i="3"/>
  <c r="C13" i="3"/>
  <c r="D13" i="3"/>
  <c r="C15" i="3"/>
  <c r="D15" i="3"/>
  <c r="C17" i="3"/>
  <c r="D17" i="3"/>
  <c r="C7" i="2"/>
  <c r="D7" i="2"/>
  <c r="C9" i="2"/>
  <c r="I20" i="1"/>
  <c r="J20" i="1"/>
  <c r="C36" i="1"/>
  <c r="D36" i="1"/>
  <c r="C10" i="3"/>
  <c r="D10" i="3"/>
  <c r="C32" i="3"/>
  <c r="D32" i="3"/>
  <c r="C33" i="3"/>
  <c r="D33" i="3"/>
  <c r="C6" i="5"/>
  <c r="D6" i="5"/>
  <c r="H5" i="5"/>
  <c r="H4" i="5"/>
  <c r="C5" i="5"/>
  <c r="D5" i="5"/>
  <c r="C7" i="5"/>
  <c r="D7" i="5"/>
  <c r="H3" i="5"/>
  <c r="G10" i="3"/>
  <c r="H10" i="3"/>
  <c r="I11" i="1"/>
  <c r="J11" i="1"/>
  <c r="C12" i="3"/>
  <c r="D12" i="3"/>
  <c r="I7" i="1"/>
  <c r="J7" i="1"/>
  <c r="I6" i="1"/>
  <c r="J6" i="1"/>
  <c r="I19" i="1"/>
  <c r="J19" i="1"/>
  <c r="C18" i="3"/>
  <c r="D18" i="3"/>
</calcChain>
</file>

<file path=xl/sharedStrings.xml><?xml version="1.0" encoding="utf-8"?>
<sst xmlns="http://schemas.openxmlformats.org/spreadsheetml/2006/main" count="259" uniqueCount="175">
  <si>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</si>
  <si>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</si>
  <si>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</si>
  <si>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</si>
  <si>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</si>
  <si>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</si>
  <si>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</si>
  <si>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</si>
  <si>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</si>
  <si>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</si>
  <si>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</si>
  <si>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</si>
  <si>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</si>
  <si>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</si>
  <si>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</si>
  <si>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</si>
  <si>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</si>
  <si>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</si>
  <si>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</si>
  <si>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</si>
  <si>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</si>
  <si>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</si>
  <si>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</si>
  <si>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</si>
  <si>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</si>
  <si>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</si>
  <si>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</si>
  <si>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</si>
  <si>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</si>
  <si>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</si>
  <si>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</si>
  <si>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</si>
  <si>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</si>
  <si>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</si>
  <si>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</si>
  <si>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</si>
  <si>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</si>
  <si>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</si>
  <si>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</si>
  <si>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</si>
  <si>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</si>
  <si>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</si>
  <si>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</si>
  <si>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</si>
  <si>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</si>
  <si>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</si>
  <si>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</si>
  <si>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</si>
  <si>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</si>
  <si>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</si>
  <si>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</si>
  <si>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</si>
  <si>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</si>
  <si>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</si>
  <si>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</si>
  <si>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</si>
  <si>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</si>
  <si>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</si>
  <si>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Costo de fabricación</t>
  </si>
  <si>
    <t>Precio unitario de venta</t>
  </si>
  <si>
    <t>Sistema de costeo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</si>
  <si>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</si>
  <si>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</si>
  <si>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</si>
  <si>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</si>
  <si>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</si>
  <si>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</si>
  <si>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</si>
  <si>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</si>
  <si>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</si>
  <si>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</si>
  <si>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</si>
  <si>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</si>
  <si>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</si>
  <si>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</si>
  <si>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</si>
  <si>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</si>
  <si>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</si>
  <si>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</si>
  <si>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</si>
  <si>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</si>
  <si>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</si>
  <si>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</si>
  <si>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</si>
  <si>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</si>
  <si>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</si>
  <si>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</si>
  <si>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</si>
  <si>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LINEAL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</si>
  <si>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</si>
  <si>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</si>
  <si>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</si>
  <si>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</si>
  <si>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</si>
  <si>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</si>
  <si>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</si>
  <si>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</si>
  <si>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</si>
  <si>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</si>
  <si>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</si>
  <si>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</si>
  <si>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</si>
  <si>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</si>
  <si>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</si>
  <si>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</si>
  <si>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</si>
  <si>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</si>
  <si>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</si>
  <si>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</si>
  <si>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</si>
  <si>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</si>
  <si>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</si>
  <si>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</si>
  <si>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</si>
  <si>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</si>
  <si>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</si>
  <si>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</si>
  <si>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</si>
  <si>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</si>
  <si>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</si>
  <si>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</si>
  <si>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</si>
  <si>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</si>
  <si>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</si>
  <si>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</si>
  <si>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</si>
  <si>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</si>
  <si>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</si>
  <si>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</si>
  <si>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</si>
  <si>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</si>
  <si>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</si>
  <si>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</si>
  <si>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Stock del inventario</t>
  </si>
  <si>
    <t>Costo prima final</t>
  </si>
  <si>
    <t>Costo prima inicial</t>
  </si>
  <si>
    <t>Contribución marginal unitaria</t>
  </si>
  <si>
    <t>Gastos de fabricación variables unitarios</t>
  </si>
  <si>
    <t>Gastos de comercialización variables unitarios</t>
  </si>
  <si>
    <t>Puntos</t>
  </si>
  <si>
    <t>Equilibrio económico (unidades)</t>
  </si>
  <si>
    <t>Equilibrio financiero (unidades)</t>
  </si>
  <si>
    <t>Equilibrio económico ($)</t>
  </si>
  <si>
    <t>Equilibrio financiero ($)</t>
  </si>
  <si>
    <t>FIFO</t>
  </si>
  <si>
    <t>Resultado o Utilidad Bruta</t>
  </si>
  <si>
    <t>DIRECTO</t>
  </si>
  <si>
    <t>Gastos fijos no erogables</t>
  </si>
  <si>
    <t>Gastos variables no erogables</t>
  </si>
  <si>
    <t>Se tiene la posibilidad de llevar a cabo los proyectos A y B, cuya inversión y Flujo Neto de caja son los que se muestran a continuación. Se pide:</t>
  </si>
  <si>
    <t>a)</t>
  </si>
  <si>
    <t>Indicar cuál es el VAN del proyecto A, considerando una tasa del 12%.</t>
  </si>
  <si>
    <t>b)</t>
  </si>
  <si>
    <t>Indicar cuál es el VAN del proyecto B, considerando una tasa del 12%.</t>
  </si>
  <si>
    <t>c)</t>
  </si>
  <si>
    <t>Indicar cuál es el período de repago del proyecto A.</t>
  </si>
  <si>
    <t>d)</t>
  </si>
  <si>
    <t>Indicar cuál es el período de repago del proyecto B.</t>
  </si>
  <si>
    <t>e)</t>
  </si>
  <si>
    <t>Elija el proyecto más conveniente.</t>
  </si>
  <si>
    <t>Proyecto A</t>
  </si>
  <si>
    <t>Proyecto B</t>
  </si>
  <si>
    <t>Año</t>
  </si>
  <si>
    <t>Egresos</t>
  </si>
  <si>
    <t>Ingresos</t>
  </si>
  <si>
    <t>Saldo anual</t>
  </si>
  <si>
    <t>Saldo Acumulado</t>
  </si>
  <si>
    <t>VAN subtotal</t>
  </si>
  <si>
    <t>Proyecto</t>
  </si>
  <si>
    <t>A</t>
  </si>
  <si>
    <t>B</t>
  </si>
  <si>
    <t>VAN(0%)</t>
  </si>
  <si>
    <t>VAN(12%)</t>
  </si>
  <si>
    <t>Período de recuperación</t>
  </si>
  <si>
    <t>EL B ES MEJOR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</si>
</sst>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&quot;$&quot;\ #,##0.00"/>
    <numFmt numFmtId="165" formatCode="&quot;$&quot;\ #,##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Border="1"/>
    <xf numFmtId="2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right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/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1" xfId="0" applyNumberFormat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/>
    </xf>
    <xf numFmtId="1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right" wrapText="1"/>
    </xf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/>
    <xf numFmtId="1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3" xfId="0" applyBorder="1" applyAlignment="1"/>
    <xf numFmtId="9" fontId="0" fillId="0" borderId="2" xfId="0" applyNumberFormat="1" applyBorder="1" applyAlignment="1"/>
    <xf numFmtId="0" fontId="0" fillId="0" borderId="2" xfId="0" applyBorder="1" applyAlignment="1"/>
    <xf numFmtId="0" fontId="3" fillId="0" borderId="0" xfId="0" applyFont="1" applyFill="1" applyBorder="1"/>
    <xf numFmtId="0" fontId="0" fillId="0" borderId="0" xfId="0" applyFont="1" applyBorder="1"/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6" fontId="4" fillId="0" borderId="4" xfId="0" applyNumberFormat="1" applyFont="1" applyBorder="1" applyAlignment="1">
      <alignment horizontal="right" wrapText="1"/>
    </xf>
    <xf numFmtId="0" fontId="5" fillId="0" borderId="4" xfId="0" applyFont="1" applyBorder="1" applyAlignment="1">
      <alignment vertical="top" wrapText="1"/>
    </xf>
    <xf numFmtId="6" fontId="4" fillId="0" borderId="4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6" fontId="4" fillId="0" borderId="9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vertical="top" wrapText="1"/>
    </xf>
    <xf numFmtId="6" fontId="4" fillId="0" borderId="11" xfId="0" applyNumberFormat="1" applyFont="1" applyBorder="1" applyAlignment="1">
      <alignment horizontal="right" wrapText="1"/>
    </xf>
    <xf numFmtId="6" fontId="4" fillId="0" borderId="11" xfId="0" applyNumberFormat="1" applyFont="1" applyBorder="1" applyAlignment="1">
      <alignment horizontal="right" vertical="top" wrapText="1"/>
    </xf>
    <xf numFmtId="6" fontId="4" fillId="4" borderId="11" xfId="0" applyNumberFormat="1" applyFont="1" applyFill="1" applyBorder="1" applyAlignment="1">
      <alignment horizontal="right" vertical="top" wrapText="1"/>
    </xf>
    <xf numFmtId="6" fontId="4" fillId="0" borderId="12" xfId="0" applyNumberFormat="1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vertical="top" wrapText="1"/>
    </xf>
    <xf numFmtId="6" fontId="4" fillId="0" borderId="14" xfId="0" applyNumberFormat="1" applyFont="1" applyBorder="1" applyAlignment="1">
      <alignment horizontal="right" wrapText="1"/>
    </xf>
    <xf numFmtId="6" fontId="4" fillId="0" borderId="14" xfId="0" applyNumberFormat="1" applyFont="1" applyBorder="1" applyAlignment="1">
      <alignment horizontal="right" vertical="top" wrapText="1"/>
    </xf>
    <xf numFmtId="6" fontId="4" fillId="0" borderId="15" xfId="0" applyNumberFormat="1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8" xfId="0" applyFont="1" applyBorder="1" applyAlignment="1">
      <alignment wrapText="1"/>
    </xf>
    <xf numFmtId="0" fontId="4" fillId="0" borderId="16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5" fillId="0" borderId="23" xfId="0" applyFont="1" applyBorder="1" applyAlignment="1">
      <alignment vertical="top" wrapText="1"/>
    </xf>
    <xf numFmtId="6" fontId="4" fillId="0" borderId="23" xfId="0" applyNumberFormat="1" applyFont="1" applyBorder="1" applyAlignment="1">
      <alignment horizontal="right" wrapText="1"/>
    </xf>
    <xf numFmtId="6" fontId="4" fillId="0" borderId="23" xfId="0" applyNumberFormat="1" applyFont="1" applyBorder="1" applyAlignment="1">
      <alignment horizontal="right" vertical="top" wrapText="1"/>
    </xf>
    <xf numFmtId="6" fontId="4" fillId="4" borderId="23" xfId="0" applyNumberFormat="1" applyFont="1" applyFill="1" applyBorder="1" applyAlignment="1">
      <alignment horizontal="right" vertical="top" wrapText="1"/>
    </xf>
    <xf numFmtId="6" fontId="4" fillId="0" borderId="21" xfId="0" applyNumberFormat="1" applyFont="1" applyBorder="1" applyAlignment="1">
      <alignment horizontal="center" wrapText="1"/>
    </xf>
    <xf numFmtId="0" fontId="4" fillId="0" borderId="24" xfId="0" applyFont="1" applyBorder="1" applyAlignment="1">
      <alignment horizontal="center" wrapText="1"/>
    </xf>
    <xf numFmtId="0" fontId="0" fillId="5" borderId="0" xfId="0" applyFill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164" fontId="0" fillId="0" borderId="27" xfId="0" applyNumberFormat="1" applyBorder="1"/>
    <xf numFmtId="164" fontId="0" fillId="0" borderId="25" xfId="0" applyNumberFormat="1" applyBorder="1" applyAlignment="1">
      <alignment horizontal="center" vertical="center"/>
    </xf>
    <xf numFmtId="164" fontId="0" fillId="6" borderId="25" xfId="0" applyNumberForma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2" fontId="0" fillId="6" borderId="25" xfId="0" applyNumberFormat="1" applyFill="1" applyBorder="1" applyAlignment="1">
      <alignment horizontal="center" vertical="center"/>
    </xf>
    <xf numFmtId="2" fontId="0" fillId="6" borderId="26" xfId="0" applyNumberFormat="1" applyFill="1" applyBorder="1" applyAlignment="1">
      <alignment horizontal="center" vertical="center"/>
    </xf>
    <xf numFmtId="2" fontId="0" fillId="6" borderId="2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workbookViewId="0">
      <selection activeCell="I10" sqref="I10"/>
    </sheetView>
  </sheetViews>
  <sheetFormatPr baseColWidth="10" defaultRowHeight="15" x14ac:dyDescent="0.25"/>
  <cols>
    <col min="1" max="1" width="3.28515625" customWidth="1"/>
    <col min="2" max="2" width="15.28515625" customWidth="1"/>
    <col min="3" max="3" width="14.42578125" customWidth="1"/>
    <col min="4" max="4" width="31.140625" customWidth="1"/>
    <col min="5" max="5" width="13.28515625" customWidth="1"/>
    <col min="6" max="6" width="18.85546875" customWidth="1"/>
    <col min="7" max="7" width="35.140625" customWidth="1"/>
    <col min="8" max="8" width="14.85546875" customWidth="1"/>
    <col min="9" max="9" width="16" customWidth="1"/>
    <col min="10" max="10" width="14" customWidth="1"/>
  </cols>
  <sheetData>
    <row r="1" spans="1:20" ht="15.75" customHeight="1" x14ac:dyDescent="0.25">
      <c r="A1" s="62" t="s">
        <v>149</v>
      </c>
      <c r="B1" s="48"/>
      <c r="C1" s="48"/>
      <c r="D1" s="48"/>
      <c r="E1" s="48"/>
      <c r="F1" s="36"/>
      <c r="G1" s="36"/>
      <c r="H1" s="36"/>
      <c r="I1" s="36"/>
      <c r="J1" s="36"/>
      <c r="K1" s="36"/>
      <c r="L1" s="36"/>
      <c r="M1" s="34"/>
      <c r="N1" s="34"/>
      <c r="O1" s="34"/>
      <c r="P1" s="34"/>
      <c r="Q1" s="34"/>
      <c r="R1" s="1"/>
      <c r="S1" s="1"/>
      <c r="T1" s="1"/>
    </row>
    <row r="2" spans="1:20" ht="15.75" customHeight="1" x14ac:dyDescent="0.25">
      <c r="A2" s="18" t="s">
        <v>150</v>
      </c>
      <c r="B2" s="66" t="s">
        <v>151</v>
      </c>
      <c r="C2" s="18"/>
      <c r="D2" s="18"/>
      <c r="E2" s="18"/>
      <c r="F2" s="18"/>
      <c r="G2" s="24"/>
      <c r="H2" s="24"/>
      <c r="I2" s="38"/>
      <c r="J2" s="38"/>
      <c r="K2" s="38"/>
      <c r="L2" s="38"/>
      <c r="M2" s="32"/>
      <c r="N2" s="32"/>
      <c r="O2" s="18"/>
      <c r="P2" s="18"/>
      <c r="Q2" s="18"/>
    </row>
    <row r="3" spans="1:20" ht="15.75" customHeight="1" x14ac:dyDescent="0.25">
      <c r="A3" s="49" t="s">
        <v>152</v>
      </c>
      <c r="B3" s="67" t="s">
        <v>153</v>
      </c>
      <c r="C3" s="52"/>
      <c r="D3" s="52"/>
      <c r="E3" s="63"/>
      <c r="F3" s="52"/>
      <c r="G3" s="38"/>
      <c r="H3" s="38"/>
      <c r="I3" s="38"/>
      <c r="J3" s="38"/>
      <c r="K3" s="38"/>
      <c r="L3" s="38"/>
      <c r="M3" s="33"/>
      <c r="N3" s="33"/>
      <c r="O3" s="18"/>
      <c r="P3" s="18"/>
      <c r="Q3" s="18"/>
    </row>
    <row r="4" spans="1:20" ht="15.75" customHeight="1" x14ac:dyDescent="0.25">
      <c r="A4" s="52" t="s">
        <v>154</v>
      </c>
      <c r="B4" s="68" t="s">
        <v>155</v>
      </c>
      <c r="C4" s="49"/>
      <c r="D4" s="49"/>
      <c r="E4" s="63"/>
      <c r="F4" s="48"/>
      <c r="G4" s="37"/>
      <c r="H4" s="37"/>
      <c r="I4" s="24"/>
      <c r="J4" s="24"/>
      <c r="K4" s="24"/>
      <c r="L4" s="24"/>
      <c r="M4" s="33"/>
      <c r="N4" s="33"/>
      <c r="O4" s="18"/>
      <c r="P4" s="18"/>
      <c r="Q4" s="18"/>
    </row>
    <row r="5" spans="1:20" ht="15.75" customHeight="1" x14ac:dyDescent="0.25">
      <c r="A5" s="49" t="s">
        <v>156</v>
      </c>
      <c r="B5" s="67" t="s">
        <v>157</v>
      </c>
      <c r="C5" s="52"/>
      <c r="D5" s="52"/>
      <c r="E5" s="52"/>
      <c r="F5" s="48"/>
      <c r="G5" s="37"/>
      <c r="H5" s="47"/>
      <c r="I5" s="24"/>
      <c r="J5" s="24"/>
      <c r="K5" s="24"/>
      <c r="L5" s="24"/>
      <c r="M5" s="24"/>
      <c r="N5" s="24"/>
      <c r="O5" s="18"/>
      <c r="P5" s="18"/>
      <c r="Q5" s="18"/>
    </row>
    <row r="6" spans="1:20" ht="15.75" customHeight="1" x14ac:dyDescent="0.25">
      <c r="A6" s="41" t="s">
        <v>158</v>
      </c>
      <c r="B6" s="69" t="s">
        <v>159</v>
      </c>
      <c r="C6" s="48"/>
      <c r="D6" s="49"/>
      <c r="E6" s="53"/>
      <c r="F6" s="52"/>
      <c r="G6" s="37"/>
      <c r="H6" s="47"/>
      <c r="I6" s="38"/>
      <c r="J6" s="38"/>
      <c r="K6" s="38"/>
      <c r="L6" s="38"/>
      <c r="M6" s="24"/>
      <c r="N6" s="24"/>
      <c r="O6" s="18"/>
      <c r="P6" s="18"/>
      <c r="Q6" s="18"/>
    </row>
    <row r="7" spans="1:20" ht="15.75" thickBot="1" x14ac:dyDescent="0.3">
      <c r="A7" s="49"/>
      <c r="B7" s="64"/>
      <c r="C7" s="48"/>
      <c r="D7" s="49"/>
      <c r="E7" s="18"/>
      <c r="F7" s="52"/>
      <c r="G7" s="38"/>
      <c r="H7" s="38"/>
      <c r="I7" s="24"/>
      <c r="J7" s="24"/>
      <c r="K7" s="24"/>
      <c r="L7" s="24"/>
      <c r="M7" s="24"/>
      <c r="N7" s="24"/>
      <c r="O7" s="18"/>
      <c r="P7" s="18"/>
      <c r="Q7" s="18"/>
    </row>
    <row r="8" spans="1:20" ht="15.75" thickBot="1" x14ac:dyDescent="0.3">
      <c r="A8" s="52"/>
      <c r="B8" s="64"/>
      <c r="C8" s="48"/>
      <c r="D8" s="75" t="s">
        <v>160</v>
      </c>
      <c r="E8" s="76"/>
      <c r="F8" s="76"/>
      <c r="G8" s="76"/>
      <c r="H8" s="76"/>
      <c r="I8" s="77"/>
      <c r="P8" s="18"/>
      <c r="Q8" s="18"/>
    </row>
    <row r="9" spans="1:20" ht="30" thickBot="1" x14ac:dyDescent="0.3">
      <c r="A9" s="49"/>
      <c r="B9" s="64"/>
      <c r="C9" s="48"/>
      <c r="D9" s="78" t="s">
        <v>162</v>
      </c>
      <c r="E9" s="70" t="s">
        <v>163</v>
      </c>
      <c r="F9" s="70" t="s">
        <v>164</v>
      </c>
      <c r="G9" s="71" t="s">
        <v>165</v>
      </c>
      <c r="H9" s="71" t="s">
        <v>166</v>
      </c>
      <c r="I9" s="79" t="s">
        <v>167</v>
      </c>
      <c r="P9" s="18"/>
      <c r="Q9" s="18"/>
    </row>
    <row r="10" spans="1:20" ht="15.75" thickBot="1" x14ac:dyDescent="0.3">
      <c r="A10" s="49"/>
      <c r="B10" s="65"/>
      <c r="C10" s="52"/>
      <c r="D10" s="78">
        <v>0</v>
      </c>
      <c r="E10" s="72">
        <v>1600000</v>
      </c>
      <c r="F10" s="73"/>
      <c r="G10" s="74">
        <v>-1600000</v>
      </c>
      <c r="H10" s="74">
        <v>-1600000</v>
      </c>
      <c r="I10" s="80">
        <v>-1600000</v>
      </c>
      <c r="P10" s="18"/>
      <c r="Q10" s="18"/>
    </row>
    <row r="11" spans="1:20" ht="15.75" thickBot="1" x14ac:dyDescent="0.3">
      <c r="A11" s="49"/>
      <c r="B11" s="65"/>
      <c r="C11" s="52"/>
      <c r="D11" s="78">
        <v>1</v>
      </c>
      <c r="E11" s="73"/>
      <c r="F11" s="72">
        <v>500000</v>
      </c>
      <c r="G11" s="74">
        <v>500000</v>
      </c>
      <c r="H11" s="74">
        <v>-1100000</v>
      </c>
      <c r="I11" s="80">
        <v>446429</v>
      </c>
      <c r="P11" s="18"/>
      <c r="Q11" s="18"/>
    </row>
    <row r="12" spans="1:20" ht="15.75" thickBot="1" x14ac:dyDescent="0.3">
      <c r="A12" s="52"/>
      <c r="B12" s="65"/>
      <c r="C12" s="52"/>
      <c r="D12" s="78">
        <v>2</v>
      </c>
      <c r="E12" s="73"/>
      <c r="F12" s="72">
        <v>600000</v>
      </c>
      <c r="G12" s="74">
        <v>600000</v>
      </c>
      <c r="H12" s="74">
        <v>-500000</v>
      </c>
      <c r="I12" s="80">
        <v>478316</v>
      </c>
      <c r="P12" s="18"/>
      <c r="Q12" s="18"/>
    </row>
    <row r="13" spans="1:20" ht="15.75" thickBot="1" x14ac:dyDescent="0.3">
      <c r="A13" s="24"/>
      <c r="B13" s="24"/>
      <c r="C13" s="24"/>
      <c r="D13" s="87">
        <v>3</v>
      </c>
      <c r="E13" s="88"/>
      <c r="F13" s="89">
        <v>700000</v>
      </c>
      <c r="G13" s="90">
        <v>700000</v>
      </c>
      <c r="H13" s="90">
        <v>200000</v>
      </c>
      <c r="I13" s="91">
        <v>498246</v>
      </c>
      <c r="P13" s="18"/>
      <c r="Q13" s="18"/>
    </row>
    <row r="14" spans="1:20" ht="15.75" thickBot="1" x14ac:dyDescent="0.3">
      <c r="A14" s="38"/>
      <c r="B14" s="38"/>
      <c r="C14" s="38"/>
      <c r="D14" s="98">
        <v>4</v>
      </c>
      <c r="E14" s="99"/>
      <c r="F14" s="100">
        <v>800000</v>
      </c>
      <c r="G14" s="101">
        <v>800000</v>
      </c>
      <c r="H14" s="102">
        <v>1000000</v>
      </c>
      <c r="I14" s="103">
        <v>508414</v>
      </c>
      <c r="P14" s="18"/>
      <c r="Q14" s="18"/>
    </row>
    <row r="15" spans="1:20" ht="15.75" thickBot="1" x14ac:dyDescent="0.3">
      <c r="A15" s="24"/>
      <c r="B15" s="38"/>
      <c r="C15" s="38"/>
      <c r="D15" s="37"/>
      <c r="E15" s="38"/>
      <c r="F15" s="38"/>
      <c r="G15" s="38"/>
      <c r="H15" s="38"/>
      <c r="I15" s="38"/>
      <c r="J15" s="38"/>
      <c r="K15" s="38"/>
      <c r="L15" s="38"/>
      <c r="M15" s="24"/>
      <c r="N15" s="24"/>
      <c r="O15" s="18"/>
      <c r="P15" s="18"/>
      <c r="Q15" s="18"/>
    </row>
    <row r="16" spans="1:20" ht="15.75" thickBot="1" x14ac:dyDescent="0.3">
      <c r="A16" s="52"/>
      <c r="B16" s="24"/>
      <c r="C16" s="24"/>
      <c r="D16" s="96" t="s">
        <v>161</v>
      </c>
      <c r="E16" s="97"/>
      <c r="F16" s="97"/>
      <c r="G16" s="97"/>
      <c r="H16" s="97"/>
      <c r="I16" s="104"/>
      <c r="J16" s="38"/>
      <c r="K16" s="38"/>
      <c r="L16" s="38"/>
      <c r="M16" s="24"/>
      <c r="N16" s="24"/>
      <c r="O16" s="18"/>
      <c r="P16" s="18"/>
      <c r="Q16" s="18"/>
    </row>
    <row r="17" spans="1:17" ht="30" thickBot="1" x14ac:dyDescent="0.3">
      <c r="A17" s="18"/>
      <c r="B17" s="42"/>
      <c r="C17" s="42"/>
      <c r="D17" s="92" t="s">
        <v>162</v>
      </c>
      <c r="E17" s="93" t="s">
        <v>163</v>
      </c>
      <c r="F17" s="93" t="s">
        <v>164</v>
      </c>
      <c r="G17" s="94" t="s">
        <v>165</v>
      </c>
      <c r="H17" s="94" t="s">
        <v>166</v>
      </c>
      <c r="I17" s="95" t="s">
        <v>167</v>
      </c>
      <c r="J17" s="38"/>
      <c r="K17" s="38"/>
      <c r="L17" s="38"/>
      <c r="M17" s="24"/>
      <c r="N17" s="24"/>
      <c r="O17" s="18"/>
      <c r="P17" s="18"/>
      <c r="Q17" s="18"/>
    </row>
    <row r="18" spans="1:17" ht="15.75" thickBot="1" x14ac:dyDescent="0.3">
      <c r="A18" s="24"/>
      <c r="B18" s="24"/>
      <c r="C18" s="24"/>
      <c r="D18" s="78">
        <v>0</v>
      </c>
      <c r="E18" s="72">
        <v>2000000</v>
      </c>
      <c r="F18" s="73"/>
      <c r="G18" s="74">
        <v>-2000000</v>
      </c>
      <c r="H18" s="74">
        <v>-2000000</v>
      </c>
      <c r="I18" s="80">
        <v>-2000000</v>
      </c>
      <c r="J18" s="38"/>
      <c r="K18" s="38"/>
      <c r="L18" s="38"/>
      <c r="M18" s="24"/>
      <c r="N18" s="24"/>
      <c r="O18" s="18"/>
      <c r="P18" s="18"/>
      <c r="Q18" s="18"/>
    </row>
    <row r="19" spans="1:17" ht="15.75" thickBot="1" x14ac:dyDescent="0.3">
      <c r="A19" s="24"/>
      <c r="B19" s="24"/>
      <c r="C19" s="24"/>
      <c r="D19" s="78">
        <v>1</v>
      </c>
      <c r="E19" s="73"/>
      <c r="F19" s="72">
        <v>700000</v>
      </c>
      <c r="G19" s="74">
        <v>700000</v>
      </c>
      <c r="H19" s="74">
        <v>-1300000</v>
      </c>
      <c r="I19" s="80">
        <v>625000</v>
      </c>
      <c r="J19" s="24"/>
      <c r="K19" s="24"/>
      <c r="L19" s="24"/>
      <c r="M19" s="24"/>
      <c r="N19" s="24"/>
      <c r="O19" s="18"/>
      <c r="P19" s="18"/>
      <c r="Q19" s="18"/>
    </row>
    <row r="20" spans="1:17" ht="15.75" thickBot="1" x14ac:dyDescent="0.3">
      <c r="A20" s="36"/>
      <c r="B20" s="36"/>
      <c r="C20" s="36"/>
      <c r="D20" s="78">
        <v>2</v>
      </c>
      <c r="E20" s="73"/>
      <c r="F20" s="72">
        <v>800000</v>
      </c>
      <c r="G20" s="74">
        <v>800000</v>
      </c>
      <c r="H20" s="74">
        <v>-500000</v>
      </c>
      <c r="I20" s="80">
        <v>637755</v>
      </c>
      <c r="J20" s="29"/>
      <c r="K20" s="24"/>
      <c r="L20" s="24"/>
      <c r="M20" s="24"/>
      <c r="N20" s="24"/>
      <c r="O20" s="18"/>
      <c r="P20" s="18"/>
      <c r="Q20" s="18"/>
    </row>
    <row r="21" spans="1:17" ht="15.75" thickBot="1" x14ac:dyDescent="0.3">
      <c r="A21" s="43"/>
      <c r="B21" s="38"/>
      <c r="C21" s="38"/>
      <c r="D21" s="78">
        <v>3</v>
      </c>
      <c r="E21" s="73"/>
      <c r="F21" s="72">
        <v>900000</v>
      </c>
      <c r="G21" s="74">
        <v>900000</v>
      </c>
      <c r="H21" s="74">
        <v>400000</v>
      </c>
      <c r="I21" s="80">
        <v>640602</v>
      </c>
      <c r="J21" s="24"/>
      <c r="K21" s="24"/>
      <c r="L21" s="24"/>
      <c r="M21" s="24"/>
      <c r="N21" s="24"/>
      <c r="O21" s="18"/>
      <c r="P21" s="18"/>
    </row>
    <row r="22" spans="1:17" ht="15.75" thickBot="1" x14ac:dyDescent="0.3">
      <c r="A22" s="43"/>
      <c r="B22" s="38"/>
      <c r="C22" s="38"/>
      <c r="D22" s="81">
        <v>4</v>
      </c>
      <c r="E22" s="82"/>
      <c r="F22" s="83">
        <v>800000</v>
      </c>
      <c r="G22" s="84">
        <v>800000</v>
      </c>
      <c r="H22" s="85">
        <v>1200000</v>
      </c>
      <c r="I22" s="86">
        <v>508414</v>
      </c>
      <c r="J22" s="24"/>
      <c r="K22" s="24"/>
      <c r="L22" s="24"/>
      <c r="M22" s="24"/>
      <c r="N22" s="24"/>
      <c r="O22" s="18"/>
      <c r="P22" s="18"/>
    </row>
    <row r="23" spans="1:17" x14ac:dyDescent="0.25">
      <c r="A23" s="43"/>
      <c r="B23" s="24"/>
      <c r="C23" s="24"/>
      <c r="D23" s="24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18"/>
      <c r="P23" s="18"/>
    </row>
    <row r="24" spans="1:17" x14ac:dyDescent="0.25">
      <c r="A24" s="24"/>
      <c r="B24" s="24"/>
      <c r="C24" s="24"/>
      <c r="D24" s="24"/>
      <c r="E24" s="25"/>
      <c r="F24" s="24"/>
      <c r="G24" s="24"/>
      <c r="H24" s="24"/>
      <c r="I24" s="24"/>
      <c r="J24" s="24"/>
      <c r="K24" s="24"/>
      <c r="L24" s="24"/>
      <c r="M24" s="18"/>
      <c r="N24" s="18"/>
      <c r="O24" s="18"/>
      <c r="P24" s="18"/>
    </row>
    <row r="25" spans="1:17" x14ac:dyDescent="0.25">
      <c r="A25" s="24"/>
      <c r="B25" s="38"/>
      <c r="C25" s="38"/>
      <c r="D25" s="38"/>
      <c r="E25" s="25"/>
      <c r="F25" s="24"/>
      <c r="G25" s="24"/>
      <c r="H25" s="39"/>
      <c r="I25" s="39"/>
      <c r="J25" s="39"/>
      <c r="K25" s="24"/>
      <c r="L25" s="24"/>
    </row>
    <row r="26" spans="1:17" x14ac:dyDescent="0.25">
      <c r="A26" s="43"/>
      <c r="B26" s="38"/>
      <c r="C26" s="38"/>
      <c r="D26" s="24"/>
      <c r="E26" s="24"/>
      <c r="F26" s="24"/>
      <c r="G26" s="24"/>
      <c r="H26" s="24"/>
      <c r="I26" s="24"/>
      <c r="J26" s="24"/>
      <c r="K26" s="24"/>
      <c r="L26" s="24"/>
    </row>
    <row r="27" spans="1:17" x14ac:dyDescent="0.25">
      <c r="A27" s="44"/>
      <c r="B27" s="38"/>
      <c r="C27" s="38"/>
      <c r="D27" s="24"/>
      <c r="E27" s="24"/>
      <c r="F27" s="24"/>
      <c r="G27" s="24"/>
      <c r="H27" s="24"/>
      <c r="I27" s="24"/>
      <c r="J27" s="24"/>
      <c r="K27" s="24"/>
      <c r="L27" s="24"/>
    </row>
    <row r="28" spans="1:17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17" x14ac:dyDescent="0.25">
      <c r="A29" s="24"/>
      <c r="B29" s="24"/>
      <c r="C29" s="24"/>
      <c r="D29" s="24"/>
      <c r="E29" s="24"/>
      <c r="F29" s="24"/>
      <c r="G29" s="29"/>
      <c r="H29" s="29"/>
      <c r="I29" s="29"/>
      <c r="J29" s="29"/>
      <c r="K29" s="24"/>
      <c r="L29" s="24"/>
    </row>
    <row r="30" spans="1:17" x14ac:dyDescent="0.25">
      <c r="A30" s="24"/>
      <c r="B30" s="38"/>
      <c r="C30" s="38"/>
      <c r="D30" s="38"/>
      <c r="E30" s="25"/>
      <c r="F30" s="29"/>
      <c r="G30" s="24"/>
      <c r="H30" s="24"/>
      <c r="I30" s="24"/>
      <c r="J30" s="24"/>
      <c r="K30" s="24"/>
      <c r="L30" s="24"/>
    </row>
    <row r="31" spans="1:17" x14ac:dyDescent="0.25">
      <c r="A31" s="36"/>
      <c r="B31" s="36"/>
      <c r="C31" s="36"/>
      <c r="D31" s="36"/>
      <c r="E31" s="26"/>
      <c r="F31" s="29"/>
      <c r="G31" s="24"/>
      <c r="H31" s="24"/>
      <c r="I31" s="24"/>
      <c r="J31" s="24"/>
      <c r="K31" s="24"/>
      <c r="L31" s="24"/>
    </row>
    <row r="32" spans="1:17" x14ac:dyDescent="0.25">
      <c r="A32" s="37"/>
      <c r="B32" s="27"/>
      <c r="C32" s="27"/>
      <c r="D32" s="27"/>
      <c r="E32" s="26"/>
      <c r="F32" s="29"/>
      <c r="G32" s="24"/>
      <c r="H32" s="24"/>
      <c r="I32" s="24"/>
      <c r="J32" s="24"/>
      <c r="K32" s="24"/>
      <c r="L32" s="24"/>
    </row>
    <row r="33" spans="1:12" x14ac:dyDescent="0.25">
      <c r="A33" s="36"/>
      <c r="B33" s="36"/>
      <c r="C33" s="36"/>
      <c r="D33" s="36"/>
      <c r="E33" s="27"/>
      <c r="F33" s="29"/>
      <c r="G33" s="24"/>
      <c r="H33" s="24"/>
      <c r="I33" s="24"/>
      <c r="J33" s="24"/>
      <c r="K33" s="24"/>
      <c r="L33" s="24"/>
    </row>
    <row r="34" spans="1:12" x14ac:dyDescent="0.25">
      <c r="A34" s="36"/>
      <c r="B34" s="36"/>
      <c r="C34" s="36"/>
      <c r="D34" s="36"/>
      <c r="E34" s="25"/>
      <c r="F34" s="29"/>
      <c r="G34" s="29"/>
      <c r="H34" s="24"/>
      <c r="I34" s="24"/>
      <c r="J34" s="24"/>
      <c r="K34" s="24"/>
      <c r="L34" s="24"/>
    </row>
    <row r="35" spans="1:12" x14ac:dyDescent="0.25">
      <c r="A35" s="43"/>
      <c r="B35" s="42"/>
      <c r="C35" s="42"/>
      <c r="D35" s="45"/>
      <c r="E35" s="45"/>
      <c r="F35" s="46"/>
      <c r="G35" s="46"/>
      <c r="H35" s="42"/>
      <c r="I35" s="42"/>
      <c r="J35" s="42"/>
      <c r="K35" s="42"/>
      <c r="L35" s="42"/>
    </row>
    <row r="36" spans="1:12" x14ac:dyDescent="0.25">
      <c r="A36" s="24"/>
      <c r="B36" s="24"/>
      <c r="C36" s="24"/>
      <c r="D36" s="25"/>
      <c r="E36" s="25"/>
      <c r="F36" s="29"/>
      <c r="G36" s="29"/>
      <c r="H36" s="24"/>
      <c r="I36" s="24"/>
      <c r="J36" s="24"/>
      <c r="K36" s="24"/>
      <c r="L36" s="18"/>
    </row>
    <row r="37" spans="1:1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18"/>
    </row>
    <row r="38" spans="1:1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18"/>
    </row>
    <row r="39" spans="1:1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18"/>
    </row>
    <row r="40" spans="1:1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18"/>
    </row>
    <row r="41" spans="1:12" x14ac:dyDescent="0.25">
      <c r="A41" s="24"/>
      <c r="B41" s="24"/>
      <c r="C41" s="24"/>
      <c r="D41" s="28"/>
      <c r="E41" s="28"/>
      <c r="F41" s="28"/>
      <c r="G41" s="24"/>
      <c r="H41" s="24"/>
      <c r="I41" s="24"/>
      <c r="J41" s="24"/>
      <c r="K41" s="24"/>
      <c r="L41" s="18"/>
    </row>
    <row r="42" spans="1:12" x14ac:dyDescent="0.25">
      <c r="A42" s="24"/>
      <c r="B42" s="24"/>
      <c r="C42" s="24"/>
      <c r="D42" s="28"/>
      <c r="E42" s="28"/>
      <c r="F42" s="28"/>
      <c r="G42" s="24"/>
      <c r="H42" s="24"/>
      <c r="I42" s="24"/>
      <c r="J42" s="24"/>
      <c r="K42" s="24"/>
      <c r="L42" s="18"/>
    </row>
    <row r="43" spans="1:12" x14ac:dyDescent="0.25">
      <c r="A43" s="24"/>
      <c r="B43" s="24"/>
      <c r="C43" s="24"/>
      <c r="D43" s="28"/>
      <c r="E43" s="28"/>
      <c r="F43" s="28"/>
      <c r="G43" s="24"/>
      <c r="H43" s="24"/>
      <c r="I43" s="24"/>
      <c r="J43" s="24"/>
      <c r="K43" s="24"/>
      <c r="L43" s="18"/>
    </row>
    <row r="44" spans="1:12" x14ac:dyDescent="0.25">
      <c r="A44" s="24"/>
      <c r="B44" s="36"/>
      <c r="C44" s="36"/>
      <c r="D44" s="28"/>
      <c r="E44" s="28"/>
      <c r="F44" s="28"/>
      <c r="G44" s="24"/>
      <c r="H44" s="24"/>
      <c r="I44" s="24"/>
      <c r="J44" s="24"/>
      <c r="K44" s="24"/>
      <c r="L44" s="18"/>
    </row>
    <row r="45" spans="1:1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18"/>
    </row>
    <row r="46" spans="1:1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18"/>
    </row>
    <row r="47" spans="1:1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18"/>
    </row>
    <row r="48" spans="1:1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18"/>
    </row>
    <row r="49" spans="1:1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18"/>
    </row>
    <row r="50" spans="1:1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18"/>
    </row>
    <row r="51" spans="1:1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18"/>
    </row>
    <row r="52" spans="1:1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18"/>
    </row>
    <row r="53" spans="1:1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18"/>
    </row>
    <row r="54" spans="1:1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18"/>
    </row>
    <row r="55" spans="1:1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</sheetData>
  <mergeCells count="2">
    <mergeCell ref="D8:I8"/>
    <mergeCell ref="D16:I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workbookViewId="0">
      <selection activeCell="D37" sqref="D37"/>
    </sheetView>
  </sheetViews>
  <sheetFormatPr baseColWidth="10" defaultColWidth="9.140625" defaultRowHeight="15" x14ac:dyDescent="0.25"/>
  <cols>
    <col min="1" max="1" width="47.85546875" customWidth="1"/>
    <col min="2" max="2" width="14.7109375" customWidth="1"/>
    <col min="3" max="3" width="15.28515625" customWidth="1"/>
    <col min="4" max="4" width="15.140625" customWidth="1"/>
    <col min="7" max="7" width="44.140625" customWidth="1"/>
    <col min="8" max="8" width="14.28515625" customWidth="1"/>
    <col min="9" max="9" width="15" customWidth="1"/>
    <col min="10" max="10" width="14.8554687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/>
      <c r="C3" s="11"/>
      <c r="D3" s="10">
        <f>IF(B3&gt;0,B3,C3)</f>
        <v>0</v>
      </c>
      <c r="G3" s="7" t="s">
        <v>17</v>
      </c>
      <c r="H3" s="9"/>
      <c r="I3" s="10"/>
      <c r="J3" s="10">
        <f>IF(H3&gt;0,H3,I3)</f>
        <v>0</v>
      </c>
    </row>
    <row r="4" spans="1:10" x14ac:dyDescent="0.25">
      <c r="A4" s="4" t="s">
        <v>2</v>
      </c>
      <c r="B4" s="9"/>
      <c r="C4" s="11"/>
      <c r="D4" s="10">
        <f t="shared" ref="D4:D5" si="0">IF(B4&gt;0,B4,C4)</f>
        <v>0</v>
      </c>
      <c r="G4" s="7" t="s">
        <v>138</v>
      </c>
      <c r="H4" s="9"/>
      <c r="I4" s="40">
        <f>IFERROR(J3/D38,0)</f>
        <v>0</v>
      </c>
      <c r="J4" s="10">
        <f>IF(H4&gt;0,H4,I4)</f>
        <v>0</v>
      </c>
    </row>
    <row r="5" spans="1:10" x14ac:dyDescent="0.25">
      <c r="A5" s="4" t="s">
        <v>3</v>
      </c>
      <c r="B5" s="9"/>
      <c r="C5" s="11"/>
      <c r="D5" s="10">
        <f t="shared" si="0"/>
        <v>0</v>
      </c>
      <c r="G5" s="4" t="s">
        <v>18</v>
      </c>
      <c r="H5" s="9"/>
      <c r="I5" s="10"/>
      <c r="J5" s="10">
        <f t="shared" ref="J5" si="1">IF(H5&gt;0,H5,I5)</f>
        <v>0</v>
      </c>
    </row>
    <row r="6" spans="1:10" x14ac:dyDescent="0.25">
      <c r="A6" s="4" t="s">
        <v>119</v>
      </c>
      <c r="B6" s="9"/>
      <c r="C6" s="11"/>
      <c r="D6" s="10">
        <f t="shared" ref="D6" si="2">IF(B6&gt;0,B6,C6)</f>
        <v>0</v>
      </c>
      <c r="G6" s="5" t="s">
        <v>20</v>
      </c>
      <c r="H6" s="9"/>
      <c r="I6" s="10">
        <f ca="1">J7*D36</f>
        <v>0</v>
      </c>
      <c r="J6" s="10">
        <f ca="1">IF(H6&gt;0,H6,I6)</f>
        <v>0</v>
      </c>
    </row>
    <row r="7" spans="1:10" x14ac:dyDescent="0.25">
      <c r="A7" s="4" t="s">
        <v>108</v>
      </c>
      <c r="B7" s="9"/>
      <c r="C7" s="11"/>
      <c r="D7" s="10">
        <f t="shared" ref="D7" si="3">IF(B7&gt;0,B7,C7)</f>
        <v>0</v>
      </c>
      <c r="G7" s="5" t="s">
        <v>137</v>
      </c>
      <c r="H7" s="9"/>
      <c r="I7" s="10">
        <f ca="1">J19</f>
        <v>0</v>
      </c>
      <c r="J7" s="10">
        <f ca="1">IF(H7&gt;0,H7,I7)</f>
        <v>0</v>
      </c>
    </row>
    <row r="8" spans="1:10" x14ac:dyDescent="0.25">
      <c r="A8" s="4" t="s">
        <v>109</v>
      </c>
      <c r="B8" s="9"/>
      <c r="C8" s="11"/>
      <c r="D8" s="10">
        <f t="shared" ref="D8:D15" si="4">IF(B8&gt;0,B8,C8)</f>
        <v>0</v>
      </c>
      <c r="G8" s="4" t="s">
        <v>19</v>
      </c>
      <c r="H8" s="9"/>
      <c r="I8" s="10"/>
      <c r="J8" s="10">
        <f t="shared" ref="J8:J12" si="5">IF(H8&gt;0,H8,I8)</f>
        <v>0</v>
      </c>
    </row>
    <row r="9" spans="1:10" x14ac:dyDescent="0.25">
      <c r="A9" s="4" t="s">
        <v>110</v>
      </c>
      <c r="B9" s="9"/>
      <c r="C9" s="11"/>
      <c r="D9" s="10">
        <f t="shared" si="4"/>
        <v>0</v>
      </c>
      <c r="G9" s="4" t="s">
        <v>21</v>
      </c>
      <c r="H9" s="10"/>
      <c r="I9" s="10"/>
      <c r="J9" s="10">
        <f t="shared" si="5"/>
        <v>0</v>
      </c>
    </row>
    <row r="10" spans="1:10" x14ac:dyDescent="0.25">
      <c r="A10" s="4" t="s">
        <v>111</v>
      </c>
      <c r="B10" s="9"/>
      <c r="C10" s="10"/>
      <c r="D10" s="10">
        <f t="shared" si="4"/>
        <v>0</v>
      </c>
      <c r="G10" s="4" t="s">
        <v>22</v>
      </c>
      <c r="H10" s="10"/>
      <c r="I10" s="10"/>
      <c r="J10" s="10">
        <f t="shared" si="5"/>
        <v>0</v>
      </c>
    </row>
    <row r="11" spans="1:10" x14ac:dyDescent="0.25">
      <c r="A11" s="4" t="s">
        <v>113</v>
      </c>
      <c r="B11" s="9"/>
      <c r="C11" s="10"/>
      <c r="D11" s="10">
        <f t="shared" si="4"/>
        <v>0</v>
      </c>
      <c r="G11" s="4" t="s">
        <v>43</v>
      </c>
      <c r="H11" s="9"/>
      <c r="I11" s="10">
        <f ca="1">J3+J6+J9</f>
        <v>0</v>
      </c>
      <c r="J11" s="10">
        <f ca="1">IF(H11&gt;0,H11,I11)</f>
        <v>0</v>
      </c>
    </row>
    <row r="12" spans="1:10" x14ac:dyDescent="0.25">
      <c r="A12" s="4" t="s">
        <v>112</v>
      </c>
      <c r="B12" s="9"/>
      <c r="C12" s="10"/>
      <c r="D12" s="10">
        <f t="shared" si="4"/>
        <v>0</v>
      </c>
      <c r="G12" s="4" t="s">
        <v>42</v>
      </c>
      <c r="H12" s="9"/>
      <c r="I12" s="10">
        <f>J5+J8+J10</f>
        <v>0</v>
      </c>
      <c r="J12" s="10">
        <f t="shared" si="5"/>
        <v>0</v>
      </c>
    </row>
    <row r="13" spans="1:10" x14ac:dyDescent="0.25">
      <c r="A13" s="4" t="s">
        <v>114</v>
      </c>
      <c r="B13" s="9"/>
      <c r="C13" s="10"/>
      <c r="D13" s="10">
        <f t="shared" si="4"/>
        <v>0</v>
      </c>
    </row>
    <row r="14" spans="1:10" x14ac:dyDescent="0.25">
      <c r="A14" s="4" t="s">
        <v>115</v>
      </c>
      <c r="B14" s="9"/>
      <c r="C14" s="10"/>
      <c r="D14" s="10">
        <f t="shared" si="4"/>
        <v>0</v>
      </c>
      <c r="G14" s="6" t="s">
        <v>13</v>
      </c>
      <c r="H14" s="6" t="s">
        <v>12</v>
      </c>
      <c r="I14" s="6" t="s">
        <v>11</v>
      </c>
      <c r="J14" s="6" t="s">
        <v>45</v>
      </c>
    </row>
    <row r="15" spans="1:10" x14ac:dyDescent="0.25">
      <c r="A15" s="4" t="s">
        <v>116</v>
      </c>
      <c r="B15" s="9"/>
      <c r="C15" s="10"/>
      <c r="D15" s="10">
        <f t="shared" si="4"/>
        <v>0</v>
      </c>
      <c r="G15" s="16" t="s">
        <v>131</v>
      </c>
      <c r="H15" s="22"/>
      <c r="I15" s="21">
        <f>IF(B33="FIFO",IF('Sistemas de costeo'!D22&gt;D40,D40*'Cuentas y Costos'!D24,('Sistemas de costeo'!D25*'Sistemas de costeo'!D22)+((D40-'Sistemas de costeo'!D22)*'Sistemas de costeo'!D26)),IF(B33="LIFO",IF('Sistemas de costeo'!D23&gt;D40,D40*'Sistemas de costeo'!D26,('Sistemas de costeo'!D26*'Sistemas de costeo'!D23)+((D40-'Sistemas de costeo'!D23)*'Sistemas de costeo'!D25))))</f>
        <v>0</v>
      </c>
      <c r="J15" s="21">
        <f t="shared" ref="J15" si="6">IF(H15&gt;0,H15,I15)</f>
        <v>0</v>
      </c>
    </row>
    <row r="16" spans="1:10" x14ac:dyDescent="0.25">
      <c r="A16" s="4" t="s">
        <v>121</v>
      </c>
      <c r="B16" s="9"/>
      <c r="C16" s="10">
        <f>D10+D12+D14</f>
        <v>0</v>
      </c>
      <c r="D16" s="10">
        <f t="shared" ref="D16" si="7">IF(B16&gt;0,B16,C16)</f>
        <v>0</v>
      </c>
      <c r="G16" s="16" t="s">
        <v>132</v>
      </c>
      <c r="H16" s="22"/>
      <c r="I16" s="21"/>
      <c r="J16" s="21">
        <f t="shared" ref="J16" si="8">IF(H16&gt;0,H16,I16)</f>
        <v>0</v>
      </c>
    </row>
    <row r="17" spans="1:10" x14ac:dyDescent="0.25">
      <c r="A17" s="4" t="s">
        <v>122</v>
      </c>
      <c r="B17" s="9"/>
      <c r="C17" s="10">
        <f>D11+D13+D15</f>
        <v>0</v>
      </c>
      <c r="D17" s="10">
        <f t="shared" ref="D17" si="9">IF(B17&gt;0,B17,C17)</f>
        <v>0</v>
      </c>
      <c r="G17" s="16" t="s">
        <v>54</v>
      </c>
      <c r="H17" s="22"/>
      <c r="I17" s="21"/>
      <c r="J17" s="21">
        <f t="shared" ref="J17:J18" si="10">IF(H17&gt;0,H17,I17)</f>
        <v>0</v>
      </c>
    </row>
    <row r="18" spans="1:10" x14ac:dyDescent="0.25">
      <c r="A18" s="4" t="s">
        <v>104</v>
      </c>
      <c r="B18" s="10"/>
      <c r="C18" s="10">
        <f>D16+D17</f>
        <v>0</v>
      </c>
      <c r="D18" s="10">
        <f>IF(B18&gt;0,B18,C18)</f>
        <v>0</v>
      </c>
      <c r="G18" s="16" t="s">
        <v>55</v>
      </c>
      <c r="H18" s="21"/>
      <c r="I18" s="21">
        <f>J17*B37</f>
        <v>0</v>
      </c>
      <c r="J18" s="21">
        <f t="shared" si="10"/>
        <v>0</v>
      </c>
    </row>
    <row r="19" spans="1:10" x14ac:dyDescent="0.25">
      <c r="A19" s="4" t="s">
        <v>14</v>
      </c>
      <c r="B19" s="9"/>
      <c r="C19" s="10">
        <f>B39*D38</f>
        <v>0</v>
      </c>
      <c r="D19" s="10">
        <f>IF(B19&gt;0,B19,C19)</f>
        <v>0</v>
      </c>
      <c r="G19" s="13" t="s">
        <v>53</v>
      </c>
      <c r="H19" s="21"/>
      <c r="I19" s="21">
        <f ca="1">IF('Sistemas de costeo'!B2="DIRECTO",(J15+J16+J6)/D36,IF('Sistemas de costeo'!B2="ABSORCIÓN",(J15+J16+J6+J8)/D36))</f>
        <v>0</v>
      </c>
      <c r="J19" s="21">
        <f ca="1">IF(H19&gt;0,H19,I19)</f>
        <v>0</v>
      </c>
    </row>
    <row r="20" spans="1:10" x14ac:dyDescent="0.25">
      <c r="A20" s="4" t="s">
        <v>48</v>
      </c>
      <c r="B20" s="10"/>
      <c r="C20" s="10"/>
      <c r="D20" s="10">
        <f>IF(B20&gt;0,B20,C20)</f>
        <v>0</v>
      </c>
      <c r="G20" s="16" t="s">
        <v>16</v>
      </c>
      <c r="H20" s="22"/>
      <c r="I20" s="21">
        <f ca="1">J19*D36</f>
        <v>0</v>
      </c>
      <c r="J20" s="21">
        <f ca="1">IF(H20&gt;0,H20,I20)</f>
        <v>0</v>
      </c>
    </row>
    <row r="21" spans="1:10" x14ac:dyDescent="0.25">
      <c r="A21" s="4" t="s">
        <v>105</v>
      </c>
      <c r="B21" s="10"/>
      <c r="C21" s="10"/>
      <c r="D21" s="10">
        <f t="shared" ref="D21:D22" si="11">IF(B21&gt;0,B21,C21)</f>
        <v>0</v>
      </c>
      <c r="G21" s="16" t="s">
        <v>58</v>
      </c>
      <c r="H21" s="22"/>
      <c r="I21" s="21">
        <f ca="1">J20</f>
        <v>0</v>
      </c>
      <c r="J21" s="21">
        <f ca="1">IF(H21&gt;0,H21,I21)</f>
        <v>0</v>
      </c>
    </row>
    <row r="22" spans="1:10" x14ac:dyDescent="0.25">
      <c r="A22" s="4" t="s">
        <v>120</v>
      </c>
      <c r="B22" s="10"/>
      <c r="C22" s="10"/>
      <c r="D22" s="10">
        <f t="shared" si="11"/>
        <v>0</v>
      </c>
      <c r="G22" s="16" t="s">
        <v>36</v>
      </c>
      <c r="H22" s="21"/>
      <c r="I22" s="21">
        <f ca="1">IF(B33="FIFO",IF(B37&gt;D38,D38*J17,J18+((D38-B37)*J19)),IF(B33="LIFO",IF(D36&gt;D38,D38*J19,J20+((D38-B36)*J17))))</f>
        <v>0</v>
      </c>
      <c r="J22" s="21">
        <f ca="1">IF(H22&gt;0,H22,I22)</f>
        <v>0</v>
      </c>
    </row>
    <row r="24" spans="1:10" x14ac:dyDescent="0.25">
      <c r="A24" s="6" t="s">
        <v>33</v>
      </c>
      <c r="B24" s="6" t="s">
        <v>12</v>
      </c>
      <c r="C24" s="6" t="s">
        <v>11</v>
      </c>
      <c r="D24" s="6" t="s">
        <v>45</v>
      </c>
      <c r="G24" s="6" t="s">
        <v>26</v>
      </c>
      <c r="H24" s="6" t="s">
        <v>12</v>
      </c>
      <c r="I24" s="6" t="s">
        <v>11</v>
      </c>
      <c r="J24" s="6" t="s">
        <v>45</v>
      </c>
    </row>
    <row r="25" spans="1:10" x14ac:dyDescent="0.25">
      <c r="A25" s="4" t="s">
        <v>9</v>
      </c>
      <c r="B25" s="15"/>
      <c r="C25" s="3" t="s">
        <v>46</v>
      </c>
      <c r="D25" s="3" t="s">
        <v>46</v>
      </c>
      <c r="G25" s="13" t="s">
        <v>30</v>
      </c>
      <c r="H25" s="21"/>
      <c r="I25" s="21">
        <f>D17</f>
        <v>0</v>
      </c>
      <c r="J25" s="21">
        <f>IF(H25&gt;0,H25,I25)</f>
        <v>0</v>
      </c>
    </row>
    <row r="26" spans="1:10" x14ac:dyDescent="0.25">
      <c r="A26" s="4" t="s">
        <v>147</v>
      </c>
      <c r="B26" s="15"/>
      <c r="C26" s="3" t="s">
        <v>46</v>
      </c>
      <c r="D26" s="3" t="s">
        <v>46</v>
      </c>
      <c r="G26" s="13" t="s">
        <v>29</v>
      </c>
      <c r="H26" s="21"/>
      <c r="I26" s="21">
        <f>D16</f>
        <v>0</v>
      </c>
      <c r="J26" s="21">
        <f t="shared" ref="J26" si="12">IF(H26&gt;0,H26,I26)</f>
        <v>0</v>
      </c>
    </row>
    <row r="27" spans="1:10" x14ac:dyDescent="0.25">
      <c r="A27" s="4" t="s">
        <v>148</v>
      </c>
      <c r="B27" s="15"/>
      <c r="C27" s="3" t="s">
        <v>46</v>
      </c>
      <c r="D27" s="3" t="s">
        <v>46</v>
      </c>
      <c r="G27" s="13" t="s">
        <v>99</v>
      </c>
      <c r="H27" s="21"/>
      <c r="I27" s="21">
        <f>J25+J26</f>
        <v>0</v>
      </c>
      <c r="J27" s="21">
        <f t="shared" ref="J27" si="13">IF(H27&gt;0,H27,I27)</f>
        <v>0</v>
      </c>
    </row>
    <row r="28" spans="1:10" x14ac:dyDescent="0.25">
      <c r="A28" s="16" t="s">
        <v>100</v>
      </c>
      <c r="B28" s="12"/>
      <c r="C28" s="12">
        <f>IFERROR(D20/D18,0)</f>
        <v>0</v>
      </c>
      <c r="D28" s="12">
        <f>IF(B28&gt;0,B28,C28)</f>
        <v>0</v>
      </c>
      <c r="G28" s="13" t="s">
        <v>27</v>
      </c>
      <c r="H28" s="21"/>
      <c r="I28" s="21">
        <f>D7+D8+D9+D6</f>
        <v>0</v>
      </c>
      <c r="J28" s="21">
        <f>IF(H28&gt;0,H28,I28)</f>
        <v>0</v>
      </c>
    </row>
    <row r="29" spans="1:10" x14ac:dyDescent="0.25">
      <c r="A29" s="16" t="s">
        <v>103</v>
      </c>
      <c r="B29" s="12"/>
      <c r="C29" s="12">
        <f>D28-(D28*B25)</f>
        <v>0</v>
      </c>
      <c r="D29" s="12">
        <f>IF(B29&gt;0,B29,C29)</f>
        <v>0</v>
      </c>
      <c r="G29" s="13" t="s">
        <v>28</v>
      </c>
      <c r="H29" s="21"/>
      <c r="I29" s="21">
        <f>D3+D4+D5</f>
        <v>0</v>
      </c>
      <c r="J29" s="21">
        <f>IF(H29&gt;0,H29,I29)</f>
        <v>0</v>
      </c>
    </row>
    <row r="30" spans="1:10" x14ac:dyDescent="0.25">
      <c r="A30" s="16" t="s">
        <v>101</v>
      </c>
      <c r="B30" s="12"/>
      <c r="C30" s="12">
        <f>IFERROR(D21/D22,0)</f>
        <v>0</v>
      </c>
      <c r="D30" s="12">
        <f>IF(B30&gt;0,B30,C30)</f>
        <v>0</v>
      </c>
      <c r="G30" s="13" t="s">
        <v>98</v>
      </c>
      <c r="H30" s="21"/>
      <c r="I30" s="21">
        <f>J28+J29</f>
        <v>0</v>
      </c>
      <c r="J30" s="21">
        <f t="shared" ref="J30" si="14">IF(H30&gt;0,H30,I30)</f>
        <v>0</v>
      </c>
    </row>
    <row r="31" spans="1:10" x14ac:dyDescent="0.25">
      <c r="A31" s="16" t="s">
        <v>102</v>
      </c>
      <c r="B31" s="12"/>
      <c r="C31" s="12">
        <f>IFERROR((D30*(J31/(J31+D18)))+(D29*(D18/(D18+J31))),0)</f>
        <v>0</v>
      </c>
      <c r="D31" s="12">
        <f>IF(B31&gt;0,B31,C31)</f>
        <v>0</v>
      </c>
      <c r="G31" s="16" t="s">
        <v>106</v>
      </c>
      <c r="H31" s="21"/>
      <c r="I31" s="31">
        <f>D22</f>
        <v>0</v>
      </c>
      <c r="J31" s="21">
        <f>IF(H31&gt;0,H31,I31)</f>
        <v>0</v>
      </c>
    </row>
    <row r="32" spans="1:10" x14ac:dyDescent="0.25">
      <c r="G32" s="16" t="s">
        <v>0</v>
      </c>
      <c r="H32" s="21"/>
      <c r="I32" s="22">
        <f ca="1">AVERAGE(J31,J33)</f>
        <v>0</v>
      </c>
      <c r="J32" s="21">
        <f ca="1">IF(H32&gt;0,H32,I32)</f>
        <v>0</v>
      </c>
    </row>
    <row r="33" spans="1:10" x14ac:dyDescent="0.25">
      <c r="A33" s="6" t="s">
        <v>57</v>
      </c>
      <c r="B33" s="3" t="s">
        <v>144</v>
      </c>
      <c r="G33" s="16" t="s">
        <v>117</v>
      </c>
      <c r="H33" s="21"/>
      <c r="I33" s="22">
        <f ca="1">J31+'Sistemas de costeo'!D17</f>
        <v>0</v>
      </c>
      <c r="J33" s="21">
        <f ca="1">IF(H33&gt;0,H33,I33)</f>
        <v>0</v>
      </c>
    </row>
    <row r="35" spans="1:10" x14ac:dyDescent="0.25">
      <c r="A35" s="6" t="s">
        <v>23</v>
      </c>
      <c r="B35" s="6" t="s">
        <v>12</v>
      </c>
      <c r="C35" s="6" t="s">
        <v>11</v>
      </c>
      <c r="D35" s="6" t="s">
        <v>45</v>
      </c>
    </row>
    <row r="36" spans="1:10" x14ac:dyDescent="0.25">
      <c r="A36" s="5" t="s">
        <v>24</v>
      </c>
      <c r="B36" s="5"/>
      <c r="C36" s="5">
        <f ca="1">J20/J19</f>
        <v>0</v>
      </c>
      <c r="D36" s="5">
        <f ca="1">IF(B36&gt;0,B36,C36)</f>
        <v>0</v>
      </c>
    </row>
    <row r="37" spans="1:10" x14ac:dyDescent="0.25">
      <c r="A37" s="5" t="s">
        <v>52</v>
      </c>
      <c r="B37" s="5"/>
      <c r="C37" s="3" t="s">
        <v>46</v>
      </c>
      <c r="D37" s="3" t="s">
        <v>46</v>
      </c>
    </row>
    <row r="38" spans="1:10" x14ac:dyDescent="0.25">
      <c r="A38" s="5" t="s">
        <v>25</v>
      </c>
      <c r="B38" s="5"/>
      <c r="C38" s="35">
        <f>'Sistemas de costeo'!D27+'Sistemas de costeo'!D28-'Sistemas de costeo'!D29</f>
        <v>0</v>
      </c>
      <c r="D38" s="35">
        <f>IF(B38&gt;0,B38,C38)</f>
        <v>0</v>
      </c>
    </row>
    <row r="39" spans="1:10" x14ac:dyDescent="0.25">
      <c r="A39" s="5" t="s">
        <v>59</v>
      </c>
      <c r="B39" s="10"/>
      <c r="C39" s="11" t="s">
        <v>46</v>
      </c>
      <c r="D39" s="11" t="s">
        <v>46</v>
      </c>
    </row>
    <row r="40" spans="1:10" x14ac:dyDescent="0.25">
      <c r="A40" s="13" t="s">
        <v>127</v>
      </c>
      <c r="B40" s="5"/>
      <c r="C40" s="5">
        <f>'Sistemas de costeo'!D22+'Sistemas de costeo'!D23-'Sistemas de costeo'!D24</f>
        <v>0</v>
      </c>
      <c r="D40" s="35">
        <f>IF(B40&gt;0,B40,C40)</f>
        <v>0</v>
      </c>
    </row>
  </sheetData>
  <dataValidations disablePrompts="1" count="1">
    <dataValidation type="list" allowBlank="1" showInputMessage="1" showErrorMessage="1" sqref="B33" xr:uid="{00000000-0002-0000-0100-000000000000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5"/>
  <sheetViews>
    <sheetView workbookViewId="0">
      <selection activeCell="E36" sqref="E36"/>
    </sheetView>
  </sheetViews>
  <sheetFormatPr baseColWidth="10" defaultRowHeight="15" x14ac:dyDescent="0.25"/>
  <cols>
    <col min="1" max="1" width="35.85546875" customWidth="1"/>
    <col min="2" max="2" width="14.140625" customWidth="1"/>
    <col min="3" max="4" width="15.140625" customWidth="1"/>
    <col min="5" max="5" width="35.85546875" customWidth="1"/>
    <col min="6" max="6" width="14.140625" customWidth="1"/>
    <col min="7" max="7" width="14.7109375" customWidth="1"/>
    <col min="8" max="8" width="15" customWidth="1"/>
  </cols>
  <sheetData>
    <row r="2" spans="1:8" x14ac:dyDescent="0.25">
      <c r="A2" s="6" t="s">
        <v>60</v>
      </c>
      <c r="B2" s="3" t="s">
        <v>146</v>
      </c>
    </row>
    <row r="3" spans="1:8" x14ac:dyDescent="0.25">
      <c r="A3" s="29"/>
      <c r="B3" s="29"/>
    </row>
    <row r="4" spans="1:8" x14ac:dyDescent="0.25">
      <c r="A4" s="54" t="s">
        <v>37</v>
      </c>
      <c r="B4" s="54"/>
      <c r="C4" s="54"/>
      <c r="D4" s="54"/>
      <c r="E4" s="54" t="s">
        <v>38</v>
      </c>
      <c r="F4" s="54"/>
      <c r="G4" s="54"/>
      <c r="H4" s="54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13" t="s">
        <v>39</v>
      </c>
      <c r="B6" s="21"/>
      <c r="C6" s="21">
        <f>'Cuentas y Costos'!D19</f>
        <v>0</v>
      </c>
      <c r="D6" s="21">
        <f t="shared" ref="D6:D8" si="0">IF(B6&gt;0,B6,C6)</f>
        <v>0</v>
      </c>
      <c r="E6" s="5" t="s">
        <v>39</v>
      </c>
      <c r="F6" s="10"/>
      <c r="G6" s="10">
        <f>'Cuentas y Costos'!D19</f>
        <v>0</v>
      </c>
      <c r="H6" s="10">
        <f t="shared" ref="H6" si="1">IF(F6&gt;0,F6,G6)</f>
        <v>0</v>
      </c>
    </row>
    <row r="7" spans="1:8" x14ac:dyDescent="0.25">
      <c r="A7" s="13" t="s">
        <v>36</v>
      </c>
      <c r="B7" s="21"/>
      <c r="C7" s="21">
        <f ca="1">'Cuentas y Costos'!J22</f>
        <v>0</v>
      </c>
      <c r="D7" s="21">
        <f ca="1">IF(B7&gt;0,B7,C7)</f>
        <v>0</v>
      </c>
      <c r="E7" s="5" t="s">
        <v>36</v>
      </c>
      <c r="F7" s="10"/>
      <c r="G7" s="10">
        <f ca="1">'Cuentas y Costos'!J22</f>
        <v>0</v>
      </c>
      <c r="H7" s="10">
        <f ca="1">IF(F7&gt;0,F7,G7)</f>
        <v>0</v>
      </c>
    </row>
    <row r="8" spans="1:8" x14ac:dyDescent="0.25">
      <c r="A8" s="13" t="s">
        <v>40</v>
      </c>
      <c r="B8" s="21"/>
      <c r="C8" s="21">
        <f>'Cuentas y Costos'!J3</f>
        <v>0</v>
      </c>
      <c r="D8" s="21">
        <f t="shared" si="0"/>
        <v>0</v>
      </c>
      <c r="E8" s="13" t="s">
        <v>145</v>
      </c>
      <c r="F8" s="21"/>
      <c r="G8" s="21">
        <f ca="1">H6-H7</f>
        <v>0</v>
      </c>
      <c r="H8" s="21">
        <f ca="1">IF(F8&gt;0,F8,G8)</f>
        <v>0</v>
      </c>
    </row>
    <row r="9" spans="1:8" x14ac:dyDescent="0.25">
      <c r="A9" s="13" t="s">
        <v>41</v>
      </c>
      <c r="B9" s="21"/>
      <c r="C9" s="21">
        <f ca="1">D6-D7-D8</f>
        <v>0</v>
      </c>
      <c r="D9" s="22">
        <f ca="1">IF(B9&gt;0,B9,C9)</f>
        <v>0</v>
      </c>
      <c r="E9" s="13" t="s">
        <v>42</v>
      </c>
      <c r="F9" s="21"/>
      <c r="G9" s="21">
        <f>'Cuentas y Costos'!J12-'Cuentas y Costos'!J8</f>
        <v>0</v>
      </c>
      <c r="H9" s="21">
        <f t="shared" ref="H9" si="2">IF(F9&gt;0,F9,G9)</f>
        <v>0</v>
      </c>
    </row>
    <row r="10" spans="1:8" x14ac:dyDescent="0.25">
      <c r="A10" s="13" t="s">
        <v>136</v>
      </c>
      <c r="B10" s="21"/>
      <c r="C10" s="21">
        <f ca="1">'Cuentas y Costos'!B39-'Cuentas y Costos'!J4-'Cuentas y Costos'!J7</f>
        <v>0</v>
      </c>
      <c r="D10" s="22">
        <f ca="1">IF(B10&gt;0,B10,C10)</f>
        <v>0</v>
      </c>
      <c r="E10" s="13" t="s">
        <v>43</v>
      </c>
      <c r="F10" s="21"/>
      <c r="G10" s="21">
        <f ca="1">'Cuentas y Costos'!J11-'Cuentas y Costos'!J6</f>
        <v>0</v>
      </c>
      <c r="H10" s="21">
        <f ca="1">IF(F10&gt;0,F10,G10)</f>
        <v>0</v>
      </c>
    </row>
    <row r="11" spans="1:8" x14ac:dyDescent="0.25">
      <c r="A11" s="13" t="s">
        <v>42</v>
      </c>
      <c r="B11" s="21"/>
      <c r="C11" s="21">
        <f>'Cuentas y Costos'!J12</f>
        <v>0</v>
      </c>
      <c r="D11" s="21">
        <f t="shared" ref="D11:D14" si="3">IF(B11&gt;0,B11,C11)</f>
        <v>0</v>
      </c>
      <c r="E11" s="13" t="s">
        <v>44</v>
      </c>
      <c r="F11" s="21"/>
      <c r="G11" s="21">
        <f ca="1">H8-H9-H10</f>
        <v>0</v>
      </c>
      <c r="H11" s="21">
        <f ca="1">IF(F11&gt;0,F11,G11)</f>
        <v>0</v>
      </c>
    </row>
    <row r="12" spans="1:8" x14ac:dyDescent="0.25">
      <c r="A12" s="13" t="s">
        <v>43</v>
      </c>
      <c r="B12" s="21"/>
      <c r="C12" s="21">
        <f ca="1">'Cuentas y Costos'!J11-D8-'Cuentas y Costos'!J6</f>
        <v>0</v>
      </c>
      <c r="D12" s="21">
        <f ca="1">IF(B12&gt;0,B12,C12)</f>
        <v>0</v>
      </c>
      <c r="E12" s="13" t="s">
        <v>47</v>
      </c>
      <c r="F12" s="21"/>
      <c r="G12" s="21">
        <f>'Cuentas y Costos'!D20</f>
        <v>0</v>
      </c>
      <c r="H12" s="22">
        <f>IF(F12&gt;0,F12,G12)</f>
        <v>0</v>
      </c>
    </row>
    <row r="13" spans="1:8" x14ac:dyDescent="0.25">
      <c r="A13" s="13" t="s">
        <v>44</v>
      </c>
      <c r="B13" s="21"/>
      <c r="C13" s="21">
        <f ca="1">D9-D11-D12</f>
        <v>0</v>
      </c>
      <c r="D13" s="22">
        <f ca="1">IF(B13&gt;0,B13,C13)</f>
        <v>0</v>
      </c>
      <c r="E13" s="13" t="s">
        <v>49</v>
      </c>
      <c r="F13" s="21"/>
      <c r="G13" s="21">
        <f ca="1">H11-H12</f>
        <v>0</v>
      </c>
      <c r="H13" s="22">
        <f ca="1">IF(F13&gt;0,F13,G13)</f>
        <v>0</v>
      </c>
    </row>
    <row r="14" spans="1:8" x14ac:dyDescent="0.25">
      <c r="A14" s="13" t="s">
        <v>47</v>
      </c>
      <c r="B14" s="21"/>
      <c r="C14" s="21">
        <f>'Cuentas y Costos'!D20</f>
        <v>0</v>
      </c>
      <c r="D14" s="22">
        <f t="shared" si="3"/>
        <v>0</v>
      </c>
      <c r="E14" s="13" t="s">
        <v>50</v>
      </c>
      <c r="F14" s="20">
        <f>'Cuentas y Costos'!B25</f>
        <v>0</v>
      </c>
      <c r="G14" s="23" t="s">
        <v>46</v>
      </c>
      <c r="H14" s="23" t="s">
        <v>46</v>
      </c>
    </row>
    <row r="15" spans="1:8" x14ac:dyDescent="0.25">
      <c r="A15" s="13" t="s">
        <v>49</v>
      </c>
      <c r="B15" s="21"/>
      <c r="C15" s="21">
        <f ca="1">D13-D14</f>
        <v>0</v>
      </c>
      <c r="D15" s="22">
        <f ca="1">IF(B15&gt;0,B15,C15)</f>
        <v>0</v>
      </c>
      <c r="E15" s="13" t="s">
        <v>118</v>
      </c>
      <c r="F15" s="21"/>
      <c r="G15" s="21">
        <f ca="1">H13-(H13*F14)</f>
        <v>0</v>
      </c>
      <c r="H15" s="22">
        <f ca="1">IF(F15&gt;0,F15,G15)</f>
        <v>0</v>
      </c>
    </row>
    <row r="16" spans="1:8" x14ac:dyDescent="0.25">
      <c r="A16" s="13" t="s">
        <v>50</v>
      </c>
      <c r="B16" s="20">
        <f>'Cuentas y Costos'!B25</f>
        <v>0</v>
      </c>
      <c r="C16" s="23" t="s">
        <v>46</v>
      </c>
      <c r="D16" s="23" t="s">
        <v>46</v>
      </c>
      <c r="E16" s="13" t="s">
        <v>56</v>
      </c>
      <c r="F16" s="21"/>
      <c r="G16" s="21">
        <f ca="1"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0</v>
      </c>
      <c r="H16" s="21">
        <f ca="1">IF(F16&gt;0,F16,G16)</f>
        <v>0</v>
      </c>
    </row>
    <row r="17" spans="1:4" x14ac:dyDescent="0.25">
      <c r="A17" s="13" t="s">
        <v>118</v>
      </c>
      <c r="B17" s="21"/>
      <c r="C17" s="21">
        <f ca="1">D15-(D15*B16)</f>
        <v>0</v>
      </c>
      <c r="D17" s="22">
        <f ca="1">IF(B17&gt;0,B17,C17)</f>
        <v>0</v>
      </c>
    </row>
    <row r="18" spans="1:4" x14ac:dyDescent="0.25">
      <c r="A18" s="13" t="s">
        <v>56</v>
      </c>
      <c r="B18" s="21"/>
      <c r="C18" s="21">
        <f ca="1"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0</v>
      </c>
      <c r="D18" s="21">
        <f ca="1">IF(B18&gt;0,B18,C18)</f>
        <v>0</v>
      </c>
    </row>
    <row r="21" spans="1:4" x14ac:dyDescent="0.25">
      <c r="A21" s="6" t="s">
        <v>133</v>
      </c>
      <c r="B21" s="6" t="s">
        <v>123</v>
      </c>
      <c r="C21" s="6" t="s">
        <v>11</v>
      </c>
      <c r="D21" s="6" t="s">
        <v>45</v>
      </c>
    </row>
    <row r="22" spans="1:4" x14ac:dyDescent="0.25">
      <c r="A22" s="5" t="s">
        <v>124</v>
      </c>
      <c r="B22" s="5"/>
      <c r="C22" s="5"/>
      <c r="D22" s="5">
        <f t="shared" ref="D22:D29" si="4">IF(B22&gt;0,B22,C22)</f>
        <v>0</v>
      </c>
    </row>
    <row r="23" spans="1:4" x14ac:dyDescent="0.25">
      <c r="A23" s="5" t="s">
        <v>125</v>
      </c>
      <c r="B23" s="5"/>
      <c r="C23" s="5"/>
      <c r="D23" s="5">
        <f t="shared" si="4"/>
        <v>0</v>
      </c>
    </row>
    <row r="24" spans="1:4" x14ac:dyDescent="0.25">
      <c r="A24" s="5" t="s">
        <v>126</v>
      </c>
      <c r="B24" s="5"/>
      <c r="C24" s="5"/>
      <c r="D24" s="5">
        <f t="shared" si="4"/>
        <v>0</v>
      </c>
    </row>
    <row r="25" spans="1:4" x14ac:dyDescent="0.25">
      <c r="A25" s="5" t="s">
        <v>135</v>
      </c>
      <c r="B25" s="10"/>
      <c r="C25" s="10"/>
      <c r="D25" s="10">
        <f t="shared" si="4"/>
        <v>0</v>
      </c>
    </row>
    <row r="26" spans="1:4" x14ac:dyDescent="0.25">
      <c r="A26" s="5" t="s">
        <v>134</v>
      </c>
      <c r="B26" s="10"/>
      <c r="C26" s="10"/>
      <c r="D26" s="10">
        <f t="shared" si="4"/>
        <v>0</v>
      </c>
    </row>
    <row r="27" spans="1:4" x14ac:dyDescent="0.25">
      <c r="A27" s="5" t="s">
        <v>128</v>
      </c>
      <c r="B27" s="5"/>
      <c r="C27" s="5"/>
      <c r="D27" s="5">
        <f t="shared" si="4"/>
        <v>0</v>
      </c>
    </row>
    <row r="28" spans="1:4" x14ac:dyDescent="0.25">
      <c r="A28" s="5" t="s">
        <v>129</v>
      </c>
      <c r="B28" s="5"/>
      <c r="C28" s="5"/>
      <c r="D28" s="5">
        <f t="shared" si="4"/>
        <v>0</v>
      </c>
    </row>
    <row r="29" spans="1:4" x14ac:dyDescent="0.25">
      <c r="A29" s="5" t="s">
        <v>130</v>
      </c>
      <c r="B29" s="5"/>
      <c r="C29" s="5"/>
      <c r="D29" s="5">
        <f t="shared" si="4"/>
        <v>0</v>
      </c>
    </row>
    <row r="31" spans="1:4" x14ac:dyDescent="0.25">
      <c r="A31" s="6" t="s">
        <v>139</v>
      </c>
      <c r="B31" s="6" t="s">
        <v>123</v>
      </c>
      <c r="C31" s="6" t="s">
        <v>11</v>
      </c>
      <c r="D31" s="6" t="s">
        <v>45</v>
      </c>
    </row>
    <row r="32" spans="1:4" x14ac:dyDescent="0.25">
      <c r="A32" s="13" t="s">
        <v>140</v>
      </c>
      <c r="B32" s="50"/>
      <c r="C32" s="50">
        <f ca="1">IFERROR('Cuentas y Costos'!J12/D10,0)</f>
        <v>0</v>
      </c>
      <c r="D32" s="50">
        <f ca="1">IF(B32&gt;0,B32,C32)</f>
        <v>0</v>
      </c>
    </row>
    <row r="33" spans="1:4" x14ac:dyDescent="0.25">
      <c r="A33" s="13" t="s">
        <v>142</v>
      </c>
      <c r="B33" s="51"/>
      <c r="C33" s="51">
        <f ca="1">D32*'Cuentas y Costos'!B39</f>
        <v>0</v>
      </c>
      <c r="D33" s="51">
        <f ca="1">IF(B33&gt;0,B33,C33)</f>
        <v>0</v>
      </c>
    </row>
    <row r="34" spans="1:4" x14ac:dyDescent="0.25">
      <c r="A34" s="13" t="s">
        <v>141</v>
      </c>
      <c r="B34" s="50"/>
      <c r="C34" s="50">
        <f ca="1">((100%-'Cuentas y Costos'!B26)*'Cuentas y Costos'!J12)/((100%-'Cuentas y Costos'!B27)*D10)</f>
        <v>0</v>
      </c>
      <c r="D34" s="50">
        <f ca="1">IF(B34&gt;0,B34,C34)</f>
        <v>0</v>
      </c>
    </row>
    <row r="35" spans="1:4" x14ac:dyDescent="0.25">
      <c r="A35" s="13" t="s">
        <v>143</v>
      </c>
      <c r="B35" s="51"/>
      <c r="C35" s="51">
        <f ca="1">D34*'Cuentas y Costos'!B39</f>
        <v>0</v>
      </c>
      <c r="D35" s="51">
        <f ca="1">IF(B35&gt;0,B35,C35)</f>
        <v>0</v>
      </c>
    </row>
  </sheetData>
  <mergeCells count="2">
    <mergeCell ref="A4:D4"/>
    <mergeCell ref="E4:H4"/>
  </mergeCells>
  <dataValidations count="2">
    <dataValidation type="list" allowBlank="1" showInputMessage="1" showErrorMessage="1" sqref="B2" xr:uid="{00000000-0002-0000-0200-000000000000}">
      <formula1>"DIRECTO,ABSORCIÓN"</formula1>
    </dataValidation>
    <dataValidation type="list" allowBlank="1" showInputMessage="1" showErrorMessage="1" sqref="B3" xr:uid="{E84E802A-1A4A-4E29-A8F8-979D4303F5A7}">
      <formula1>"FIFO,LIFO,PPP"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D6" sqref="D6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 x14ac:dyDescent="0.25">
      <c r="G1" s="2"/>
      <c r="H1" s="2"/>
      <c r="I1" s="2"/>
      <c r="J1" s="2"/>
    </row>
    <row r="2" spans="1:13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3" x14ac:dyDescent="0.25">
      <c r="A3" s="4" t="s">
        <v>34</v>
      </c>
      <c r="B3" s="10"/>
      <c r="C3" s="10">
        <f>'Cuentas y Costos'!D3+'Cuentas y Costos'!D4</f>
        <v>0</v>
      </c>
      <c r="D3" s="10">
        <f>IF(B3&gt;0,B3,C3)</f>
        <v>0</v>
      </c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6" t="s">
        <v>6</v>
      </c>
      <c r="B4" s="19"/>
      <c r="C4" s="19">
        <f>IFERROR(D3/'Cuentas y Costos'!J26, 0)</f>
        <v>0</v>
      </c>
      <c r="D4" s="19">
        <f t="shared" ref="D4:D9" si="0">IF(B4&gt;0,B4,C4)</f>
        <v>0</v>
      </c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6" t="s">
        <v>8</v>
      </c>
      <c r="B5" s="19"/>
      <c r="C5" s="19">
        <f>IFERROR(('Cuentas y Costos'!D5+D3)/'Cuentas y Costos'!J26,0)</f>
        <v>0</v>
      </c>
      <c r="D5" s="19">
        <f t="shared" si="0"/>
        <v>0</v>
      </c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6" t="s">
        <v>35</v>
      </c>
      <c r="B6" s="19"/>
      <c r="C6" s="19">
        <f>IFERROR('Cuentas y Costos'!J27/'Cuentas y Costos'!J30,0)</f>
        <v>0</v>
      </c>
      <c r="D6" s="19">
        <f t="shared" si="0"/>
        <v>0</v>
      </c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6" t="s">
        <v>5</v>
      </c>
      <c r="B7" s="20"/>
      <c r="C7" s="20">
        <f ca="1">IFERROR(IF('Sistemas de costeo'!B2="DIRECTO",'Sistemas de costeo'!D17,'Sistemas de costeo'!H15)/'Cuentas y Costos'!D19,0)</f>
        <v>0.59800569800569803</v>
      </c>
      <c r="D7" s="20">
        <f t="shared" ca="1" si="0"/>
        <v>0.59800569800569803</v>
      </c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6" t="s">
        <v>4</v>
      </c>
      <c r="B8" s="19"/>
      <c r="C8" s="19">
        <f ca="1">IFERROR('Cuentas y Costos'!D19/'Cuentas y Costos'!J32,0)</f>
        <v>3.3444497379704621</v>
      </c>
      <c r="D8" s="19">
        <f t="shared" ca="1" si="0"/>
        <v>3.3444497379704621</v>
      </c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6" t="s">
        <v>51</v>
      </c>
      <c r="B9" s="20"/>
      <c r="C9" s="20">
        <f ca="1">D7*D8</f>
        <v>2</v>
      </c>
      <c r="D9" s="20">
        <f t="shared" ca="1" si="0"/>
        <v>2</v>
      </c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6" t="s">
        <v>7</v>
      </c>
      <c r="B10" s="19"/>
      <c r="C10" s="30">
        <f>IFERROR('Cuentas y Costos'!D19/'Cuentas y Costos'!J29,0)</f>
        <v>0</v>
      </c>
      <c r="D10" s="19">
        <f>IF(B10&gt;0,B10,C10)</f>
        <v>0</v>
      </c>
    </row>
    <row r="11" spans="1:13" x14ac:dyDescent="0.25">
      <c r="A11" s="16" t="s">
        <v>107</v>
      </c>
      <c r="B11" s="20"/>
      <c r="C11" s="20">
        <f ca="1">IFERROR(D7*('Cuentas y Costos'!D19/'Cuentas y Costos'!J30),0)</f>
        <v>0</v>
      </c>
      <c r="D11" s="20">
        <f ca="1">IF(B11&gt;0,B11,C11)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7"/>
  <sheetViews>
    <sheetView tabSelected="1" workbookViewId="0">
      <selection activeCell="K24" sqref="K24"/>
    </sheetView>
  </sheetViews>
  <sheetFormatPr baseColWidth="10" defaultRowHeight="15" x14ac:dyDescent="0.25"/>
  <cols>
    <col min="1" max="1" width="44.85546875" customWidth="1"/>
    <col min="3" max="3" width="14.140625" customWidth="1"/>
    <col min="5" max="5" width="15.5703125" customWidth="1"/>
    <col min="6" max="6" width="49.5703125" customWidth="1"/>
    <col min="7" max="8" width="14.140625" customWidth="1"/>
    <col min="9" max="9" width="13.7109375" customWidth="1"/>
    <col min="10" max="10" width="22.85546875" customWidth="1"/>
  </cols>
  <sheetData>
    <row r="2" spans="1:17" x14ac:dyDescent="0.25">
      <c r="A2" s="6" t="s">
        <v>61</v>
      </c>
      <c r="B2" s="12"/>
      <c r="F2" s="6" t="s">
        <v>74</v>
      </c>
      <c r="G2" s="5"/>
      <c r="H2" s="5"/>
    </row>
    <row r="3" spans="1:17" x14ac:dyDescent="0.25">
      <c r="F3" s="6" t="s">
        <v>75</v>
      </c>
      <c r="G3" s="5"/>
      <c r="H3" s="5"/>
    </row>
    <row r="4" spans="1:17" x14ac:dyDescent="0.25">
      <c r="A4" s="6" t="s">
        <v>72</v>
      </c>
      <c r="B4" s="6" t="s">
        <v>62</v>
      </c>
      <c r="C4" s="6" t="s">
        <v>31</v>
      </c>
      <c r="D4" s="6" t="s">
        <v>75</v>
      </c>
      <c r="F4" s="6" t="s">
        <v>76</v>
      </c>
      <c r="G4" s="10">
        <f>SUMIF(D5:D14,G3,C5:C14)</f>
        <v>0</v>
      </c>
      <c r="H4" s="10">
        <f>SUMIF(D5:D14,H3,C5:C14)</f>
        <v>0</v>
      </c>
    </row>
    <row r="5" spans="1:17" x14ac:dyDescent="0.25">
      <c r="A5" s="5" t="s">
        <v>63</v>
      </c>
      <c r="B5" s="3" t="s">
        <v>73</v>
      </c>
      <c r="C5" s="10"/>
      <c r="D5" s="5"/>
      <c r="F5" s="6" t="s">
        <v>77</v>
      </c>
      <c r="G5" s="10">
        <f>G4</f>
        <v>0</v>
      </c>
      <c r="H5" s="10">
        <f>G5+H4</f>
        <v>0</v>
      </c>
    </row>
    <row r="6" spans="1:17" x14ac:dyDescent="0.25">
      <c r="A6" s="5" t="s">
        <v>64</v>
      </c>
      <c r="B6" s="3" t="s">
        <v>46</v>
      </c>
      <c r="C6" s="10"/>
      <c r="D6" s="5"/>
      <c r="F6" s="6" t="s">
        <v>78</v>
      </c>
      <c r="G6" s="57">
        <f>ABS(C6+C7+C10)</f>
        <v>0</v>
      </c>
      <c r="H6" s="58"/>
    </row>
    <row r="7" spans="1:17" x14ac:dyDescent="0.25">
      <c r="A7" s="5" t="s">
        <v>65</v>
      </c>
      <c r="B7" s="3" t="s">
        <v>46</v>
      </c>
      <c r="C7" s="10"/>
      <c r="D7" s="5"/>
      <c r="F7" s="6" t="s">
        <v>85</v>
      </c>
      <c r="G7" s="57">
        <f>G14</f>
        <v>0</v>
      </c>
      <c r="H7" s="59"/>
    </row>
    <row r="8" spans="1:17" x14ac:dyDescent="0.25">
      <c r="A8" s="5" t="s">
        <v>66</v>
      </c>
      <c r="B8" s="3" t="s">
        <v>73</v>
      </c>
      <c r="C8" s="10"/>
      <c r="D8" s="5"/>
      <c r="F8" s="6" t="s">
        <v>79</v>
      </c>
      <c r="G8" s="60">
        <f>IFERROR(IRR(G4:H4),0)</f>
        <v>0</v>
      </c>
      <c r="H8" s="59"/>
    </row>
    <row r="9" spans="1:17" x14ac:dyDescent="0.25">
      <c r="A9" s="5" t="s">
        <v>67</v>
      </c>
      <c r="B9" s="3" t="s">
        <v>46</v>
      </c>
      <c r="C9" s="10"/>
      <c r="D9" s="5"/>
      <c r="F9" s="6" t="s">
        <v>86</v>
      </c>
      <c r="G9" s="57">
        <f>G14-G15</f>
        <v>0</v>
      </c>
      <c r="H9" s="59"/>
    </row>
    <row r="10" spans="1:17" x14ac:dyDescent="0.25">
      <c r="A10" s="5" t="s">
        <v>68</v>
      </c>
      <c r="B10" s="3" t="s">
        <v>46</v>
      </c>
      <c r="C10" s="10"/>
      <c r="D10" s="5"/>
      <c r="F10" s="6" t="s">
        <v>80</v>
      </c>
      <c r="G10" s="61"/>
      <c r="H10" s="59"/>
    </row>
    <row r="11" spans="1:17" x14ac:dyDescent="0.25">
      <c r="A11" s="5" t="s">
        <v>69</v>
      </c>
      <c r="B11" s="3" t="s">
        <v>73</v>
      </c>
      <c r="C11" s="10"/>
      <c r="D11" s="5"/>
      <c r="F11" s="6" t="s">
        <v>81</v>
      </c>
      <c r="G11" s="55">
        <f>IFERROR(G6/G7,0)</f>
        <v>0</v>
      </c>
      <c r="H11" s="56"/>
    </row>
    <row r="12" spans="1:17" x14ac:dyDescent="0.25">
      <c r="A12" s="5" t="s">
        <v>70</v>
      </c>
      <c r="B12" s="3" t="s">
        <v>73</v>
      </c>
      <c r="C12" s="10"/>
      <c r="D12" s="5"/>
    </row>
    <row r="13" spans="1:17" x14ac:dyDescent="0.25">
      <c r="A13" s="5" t="s">
        <v>71</v>
      </c>
      <c r="B13" s="3" t="s">
        <v>73</v>
      </c>
      <c r="C13" s="10"/>
      <c r="D13" s="5"/>
      <c r="F13" s="6" t="s">
        <v>82</v>
      </c>
      <c r="G13" s="6" t="s">
        <v>83</v>
      </c>
    </row>
    <row r="14" spans="1:17" x14ac:dyDescent="0.25">
      <c r="A14" s="5" t="s">
        <v>50</v>
      </c>
      <c r="B14" s="3" t="s">
        <v>46</v>
      </c>
      <c r="C14" s="10"/>
      <c r="D14" s="5"/>
      <c r="F14" s="14">
        <v>0</v>
      </c>
      <c r="G14" s="10">
        <f>(G4/((1+(1*F14))^G3))+(H4/((1+(1*F14))^H3))</f>
        <v>0</v>
      </c>
    </row>
    <row r="15" spans="1:17" x14ac:dyDescent="0.25">
      <c r="A15" s="13" t="s">
        <v>84</v>
      </c>
      <c r="B15" s="8" t="s">
        <v>73</v>
      </c>
      <c r="C15" s="5"/>
      <c r="D15" s="5"/>
      <c r="F15" s="14">
        <v>0</v>
      </c>
      <c r="G15" s="10">
        <f>(G4/((1+(1*F15))^G3))+(H4/((1+(1*F15))^H3))</f>
        <v>0</v>
      </c>
    </row>
    <row r="16" spans="1:17" ht="5.25" customHeight="1" x14ac:dyDescent="0.25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</row>
    <row r="17" spans="1:11" x14ac:dyDescent="0.25">
      <c r="A17" s="6" t="s">
        <v>168</v>
      </c>
      <c r="B17" s="6" t="s">
        <v>75</v>
      </c>
      <c r="C17" s="6" t="s">
        <v>163</v>
      </c>
      <c r="D17" s="6" t="s">
        <v>164</v>
      </c>
      <c r="E17" s="6" t="s">
        <v>76</v>
      </c>
      <c r="F17" s="6" t="s">
        <v>77</v>
      </c>
      <c r="G17" s="6" t="s">
        <v>171</v>
      </c>
      <c r="H17" s="6" t="s">
        <v>172</v>
      </c>
      <c r="I17" s="6" t="s">
        <v>78</v>
      </c>
      <c r="J17" s="6" t="s">
        <v>173</v>
      </c>
    </row>
    <row r="18" spans="1:11" x14ac:dyDescent="0.25">
      <c r="A18" s="107" t="s">
        <v>169</v>
      </c>
      <c r="B18" s="109">
        <v>0</v>
      </c>
      <c r="C18" s="110">
        <v>1600000</v>
      </c>
      <c r="D18" s="110"/>
      <c r="E18" s="110">
        <f>(-1*C18)+D18</f>
        <v>-1600000</v>
      </c>
      <c r="F18" s="10">
        <f>E18</f>
        <v>-1600000</v>
      </c>
      <c r="G18" s="111">
        <f>(E18/((1+(1*0%))^B18))+(E19/((1+(1*0%))^B19))+(E20/((1+(1*0%))^B20))+(E21/((1+(1*0%))^B21))+(E22/((1+(1*0%))^B22))</f>
        <v>1000000</v>
      </c>
      <c r="H18" s="112">
        <f>(E18/((1+(1*12%))^B18))+(E19/((1+(1*12%))^B19))+(E20/((1+(1*12%))^B20))+(E21/((1+(1*12%))^B21))+(E22/((1+(1*12%))^B22))</f>
        <v>331405.53415243613</v>
      </c>
      <c r="I18" s="111">
        <f>C18</f>
        <v>1600000</v>
      </c>
      <c r="J18" s="115">
        <f>2+(ABS(F20)/E21)</f>
        <v>2.7142857142857144</v>
      </c>
    </row>
    <row r="19" spans="1:11" x14ac:dyDescent="0.25">
      <c r="A19" s="107"/>
      <c r="B19" s="3">
        <v>1</v>
      </c>
      <c r="C19" s="10"/>
      <c r="D19" s="10">
        <v>500000</v>
      </c>
      <c r="E19" s="110">
        <f t="shared" ref="E19:E27" si="0">(-1*C19)+D19</f>
        <v>500000</v>
      </c>
      <c r="F19" s="10">
        <f>F18+E19</f>
        <v>-1100000</v>
      </c>
      <c r="G19" s="107"/>
      <c r="H19" s="113"/>
      <c r="I19" s="107"/>
      <c r="J19" s="116"/>
    </row>
    <row r="20" spans="1:11" x14ac:dyDescent="0.25">
      <c r="A20" s="107"/>
      <c r="B20" s="3">
        <v>2</v>
      </c>
      <c r="C20" s="10"/>
      <c r="D20" s="10">
        <v>600000</v>
      </c>
      <c r="E20" s="110">
        <f t="shared" si="0"/>
        <v>600000</v>
      </c>
      <c r="F20" s="10">
        <f>F19+E20</f>
        <v>-500000</v>
      </c>
      <c r="G20" s="107"/>
      <c r="H20" s="113"/>
      <c r="I20" s="107"/>
      <c r="J20" s="116"/>
    </row>
    <row r="21" spans="1:11" x14ac:dyDescent="0.25">
      <c r="A21" s="107"/>
      <c r="B21" s="3">
        <v>3</v>
      </c>
      <c r="C21" s="10"/>
      <c r="D21" s="10">
        <v>700000</v>
      </c>
      <c r="E21" s="110">
        <f t="shared" si="0"/>
        <v>700000</v>
      </c>
      <c r="F21" s="10">
        <f>F20+E21</f>
        <v>200000</v>
      </c>
      <c r="G21" s="107"/>
      <c r="H21" s="113"/>
      <c r="I21" s="107"/>
      <c r="J21" s="116"/>
    </row>
    <row r="22" spans="1:11" x14ac:dyDescent="0.25">
      <c r="A22" s="108"/>
      <c r="B22" s="3">
        <v>4</v>
      </c>
      <c r="C22" s="10"/>
      <c r="D22" s="10">
        <v>800000</v>
      </c>
      <c r="E22" s="110">
        <f t="shared" si="0"/>
        <v>800000</v>
      </c>
      <c r="F22" s="10">
        <f>F21+E22</f>
        <v>1000000</v>
      </c>
      <c r="G22" s="108"/>
      <c r="H22" s="114"/>
      <c r="I22" s="108"/>
      <c r="J22" s="117"/>
    </row>
    <row r="23" spans="1:11" x14ac:dyDescent="0.25">
      <c r="A23" s="106" t="s">
        <v>170</v>
      </c>
      <c r="B23" s="3">
        <v>0</v>
      </c>
      <c r="C23" s="10">
        <v>2000000</v>
      </c>
      <c r="D23" s="10"/>
      <c r="E23" s="110">
        <f t="shared" si="0"/>
        <v>-2000000</v>
      </c>
      <c r="F23" s="10">
        <f>E23</f>
        <v>-2000000</v>
      </c>
      <c r="G23" s="111">
        <f>(E23/((1+(1*0%))^B23))+(E24/((1+(1*0%))^B24))+(E25/((1+(1*0%))^B25))+(E26/((1+(1*0%))^B26))+(E27/((1+(1*0%))^B27))</f>
        <v>1200000</v>
      </c>
      <c r="H23" s="112">
        <f>(E23/((1+(1*12%))^B23))+(E24/((1+(1*12%))^B24))+(E25/((1+(1*12%))^B25))+(E26/((1+(1*12%))^B26))+(E27/((1+(1*12%))^B27))</f>
        <v>411771.7877967509</v>
      </c>
      <c r="I23" s="111">
        <f>C23</f>
        <v>2000000</v>
      </c>
      <c r="J23" s="115">
        <f>2+(ABS(F25)/E26)</f>
        <v>2.5555555555555554</v>
      </c>
      <c r="K23" t="s">
        <v>174</v>
      </c>
    </row>
    <row r="24" spans="1:11" x14ac:dyDescent="0.25">
      <c r="A24" s="107"/>
      <c r="B24" s="3">
        <v>1</v>
      </c>
      <c r="C24" s="10"/>
      <c r="D24" s="10">
        <v>700000</v>
      </c>
      <c r="E24" s="110">
        <f t="shared" si="0"/>
        <v>700000</v>
      </c>
      <c r="F24" s="10">
        <f>F23+E24</f>
        <v>-1300000</v>
      </c>
      <c r="G24" s="107"/>
      <c r="H24" s="113"/>
      <c r="I24" s="107"/>
      <c r="J24" s="116"/>
    </row>
    <row r="25" spans="1:11" x14ac:dyDescent="0.25">
      <c r="A25" s="107"/>
      <c r="B25" s="3">
        <v>2</v>
      </c>
      <c r="C25" s="10"/>
      <c r="D25" s="10">
        <v>800000</v>
      </c>
      <c r="E25" s="110">
        <f t="shared" si="0"/>
        <v>800000</v>
      </c>
      <c r="F25" s="10">
        <f>F24+E25</f>
        <v>-500000</v>
      </c>
      <c r="G25" s="107"/>
      <c r="H25" s="113"/>
      <c r="I25" s="107"/>
      <c r="J25" s="116"/>
    </row>
    <row r="26" spans="1:11" x14ac:dyDescent="0.25">
      <c r="A26" s="107"/>
      <c r="B26" s="3">
        <v>3</v>
      </c>
      <c r="C26" s="10"/>
      <c r="D26" s="10">
        <v>900000</v>
      </c>
      <c r="E26" s="110">
        <f t="shared" si="0"/>
        <v>900000</v>
      </c>
      <c r="F26" s="10">
        <f>F25+E26</f>
        <v>400000</v>
      </c>
      <c r="G26" s="107"/>
      <c r="H26" s="113"/>
      <c r="I26" s="107"/>
      <c r="J26" s="116"/>
    </row>
    <row r="27" spans="1:11" x14ac:dyDescent="0.25">
      <c r="A27" s="108"/>
      <c r="B27" s="3">
        <v>4</v>
      </c>
      <c r="C27" s="10"/>
      <c r="D27" s="10">
        <v>800000</v>
      </c>
      <c r="E27" s="110">
        <f t="shared" si="0"/>
        <v>800000</v>
      </c>
      <c r="F27" s="10">
        <f>F26+E27</f>
        <v>1200000</v>
      </c>
      <c r="G27" s="108"/>
      <c r="H27" s="114"/>
      <c r="I27" s="108"/>
      <c r="J27" s="117"/>
    </row>
  </sheetData>
  <mergeCells count="16">
    <mergeCell ref="I18:I22"/>
    <mergeCell ref="I23:I27"/>
    <mergeCell ref="J18:J22"/>
    <mergeCell ref="J23:J27"/>
    <mergeCell ref="A18:A22"/>
    <mergeCell ref="A23:A27"/>
    <mergeCell ref="G18:G22"/>
    <mergeCell ref="G23:G27"/>
    <mergeCell ref="H18:H22"/>
    <mergeCell ref="H23:H27"/>
    <mergeCell ref="G11:H11"/>
    <mergeCell ref="G6:H6"/>
    <mergeCell ref="G7:H7"/>
    <mergeCell ref="G8:H8"/>
    <mergeCell ref="G9:H9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E6" sqref="E6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 x14ac:dyDescent="0.25">
      <c r="A2" s="6" t="s">
        <v>87</v>
      </c>
      <c r="B2" s="3" t="s">
        <v>88</v>
      </c>
      <c r="G2" s="6" t="s">
        <v>95</v>
      </c>
      <c r="H2" s="6" t="s">
        <v>96</v>
      </c>
      <c r="I2" s="6" t="s">
        <v>97</v>
      </c>
    </row>
    <row r="3" spans="1:9" x14ac:dyDescent="0.25">
      <c r="G3" s="3">
        <v>1</v>
      </c>
      <c r="H3" s="10">
        <f ca="1">IF(B2="LINEAL",D7/A10,IF(B2="CRECIENTE",D7*(G3/B10),D7*(G5/B10)))</f>
        <v>0</v>
      </c>
      <c r="I3" s="10">
        <f ca="1">D5-H3</f>
        <v>0</v>
      </c>
    </row>
    <row r="4" spans="1:9" x14ac:dyDescent="0.25">
      <c r="A4" s="6" t="s">
        <v>89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10">
        <f ca="1">I3-H4</f>
        <v>0</v>
      </c>
    </row>
    <row r="5" spans="1:9" x14ac:dyDescent="0.25">
      <c r="A5" s="5" t="s">
        <v>90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10">
        <f ca="1">I4-H5</f>
        <v>0</v>
      </c>
    </row>
    <row r="6" spans="1:9" x14ac:dyDescent="0.25">
      <c r="A6" s="5" t="s">
        <v>91</v>
      </c>
      <c r="B6" s="10"/>
      <c r="C6" s="10">
        <f ca="1">D5-D7</f>
        <v>0</v>
      </c>
      <c r="D6" s="10">
        <f t="shared" ref="D6:D7" ca="1" si="0">IF(B6&gt;0,B6,C6)</f>
        <v>0</v>
      </c>
    </row>
    <row r="7" spans="1:9" x14ac:dyDescent="0.25">
      <c r="A7" s="5" t="s">
        <v>92</v>
      </c>
      <c r="B7" s="10"/>
      <c r="C7" s="10">
        <f ca="1">D5-D6</f>
        <v>0</v>
      </c>
      <c r="D7" s="10">
        <f t="shared" ca="1" si="0"/>
        <v>0</v>
      </c>
    </row>
    <row r="9" spans="1:9" x14ac:dyDescent="0.25">
      <c r="A9" s="6" t="s">
        <v>93</v>
      </c>
      <c r="B9" s="6" t="s">
        <v>94</v>
      </c>
    </row>
    <row r="10" spans="1:9" x14ac:dyDescent="0.25">
      <c r="A10" s="3"/>
      <c r="B10" s="3"/>
    </row>
  </sheetData>
  <dataValidations disablePrompts="1"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2021-07-21T20:54:44Z</dcterms:modified>
</cp:coreProperties>
</file>