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Proyectos de Inversión\"/>
    </mc:Choice>
  </mc:AlternateContent>
  <xr:revisionPtr revIDLastSave="0" documentId="13_ncr:1_{DE0126A0-AE61-4F96-9B40-4BD5844B6F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17" i="4"/>
  <c r="F17" i="4"/>
  <c r="G16" i="4"/>
  <c r="G6" i="4"/>
  <c r="I5" i="4"/>
  <c r="C20" i="4"/>
  <c r="C18" i="4"/>
  <c r="C19" i="4"/>
  <c r="C9" i="4"/>
  <c r="C17" i="4" s="1"/>
  <c r="J4" i="4" s="1"/>
  <c r="G4" i="4"/>
  <c r="H4" i="4"/>
  <c r="B10" i="5"/>
  <c r="I29" i="4"/>
  <c r="I24" i="4"/>
  <c r="E29" i="4"/>
  <c r="E30" i="4"/>
  <c r="E31" i="4"/>
  <c r="E32" i="4"/>
  <c r="E33" i="4"/>
  <c r="E25" i="4"/>
  <c r="E26" i="4"/>
  <c r="E27" i="4"/>
  <c r="E28" i="4"/>
  <c r="E24" i="4"/>
  <c r="G9" i="3"/>
  <c r="F14" i="3"/>
  <c r="B16" i="3"/>
  <c r="D25" i="3"/>
  <c r="D26" i="3"/>
  <c r="D29" i="3"/>
  <c r="D28" i="3"/>
  <c r="D27" i="3"/>
  <c r="D24" i="3"/>
  <c r="D23" i="3"/>
  <c r="D22" i="3"/>
  <c r="J16" i="1"/>
  <c r="G29" i="4" l="1"/>
  <c r="H24" i="4"/>
  <c r="F24" i="4"/>
  <c r="F25" i="4" s="1"/>
  <c r="F26" i="4" s="1"/>
  <c r="F27" i="4" s="1"/>
  <c r="F28" i="4" s="1"/>
  <c r="C14" i="4"/>
  <c r="F29" i="4"/>
  <c r="F30" i="4" s="1"/>
  <c r="F31" i="4" s="1"/>
  <c r="H29" i="4"/>
  <c r="G24" i="4"/>
  <c r="C40" i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C16" i="4" l="1"/>
  <c r="F32" i="4"/>
  <c r="F33" i="4" s="1"/>
  <c r="C19" i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J5" i="1"/>
  <c r="J8" i="1"/>
  <c r="J9" i="1"/>
  <c r="J10" i="1"/>
  <c r="J3" i="1"/>
  <c r="I4" i="1" s="1"/>
  <c r="D4" i="1"/>
  <c r="D5" i="1"/>
  <c r="D20" i="1"/>
  <c r="D3" i="1"/>
  <c r="I4" i="4" l="1"/>
  <c r="J5" i="4" s="1"/>
  <c r="G5" i="4"/>
  <c r="H5" i="4" s="1"/>
  <c r="J4" i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D11" i="3" l="1"/>
  <c r="H9" i="3"/>
  <c r="C6" i="2"/>
  <c r="D6" i="2" s="1"/>
  <c r="C10" i="2"/>
  <c r="D10" i="2" s="1"/>
  <c r="G7" i="4"/>
  <c r="G13" i="4" s="1"/>
  <c r="G11" i="4"/>
  <c r="C5" i="2"/>
  <c r="D5" i="2" s="1"/>
  <c r="H6" i="3"/>
  <c r="C6" i="3"/>
  <c r="D6" i="3" l="1"/>
  <c r="J17" i="1"/>
  <c r="I18" i="1" l="1"/>
  <c r="J18" i="1" s="1"/>
  <c r="D6" i="5"/>
  <c r="D5" i="5"/>
  <c r="C7" i="5" s="1"/>
  <c r="D7" i="5" s="1"/>
  <c r="H4" i="5" l="1"/>
  <c r="H5" i="5"/>
  <c r="C5" i="5"/>
  <c r="H3" i="5"/>
  <c r="I3" i="5" s="1"/>
  <c r="I4" i="5" s="1"/>
  <c r="I5" i="5" s="1"/>
  <c r="C6" i="5"/>
  <c r="D35" i="3"/>
  <c r="C35" i="3"/>
  <c r="D34" i="3"/>
  <c r="C34" i="3"/>
  <c r="D12" i="3"/>
  <c r="C12" i="3"/>
  <c r="J21" i="1"/>
  <c r="I21" i="1"/>
  <c r="I33" i="1"/>
  <c r="J33" i="1"/>
  <c r="I32" i="1"/>
  <c r="J32" i="1"/>
  <c r="C8" i="2"/>
  <c r="D8" i="2"/>
  <c r="I11" i="1"/>
  <c r="J11" i="1"/>
  <c r="G10" i="3"/>
  <c r="H10" i="3"/>
  <c r="G7" i="3"/>
  <c r="H7" i="3"/>
  <c r="G8" i="3"/>
  <c r="H8" i="3"/>
  <c r="G11" i="3"/>
  <c r="H11" i="3"/>
  <c r="G13" i="3"/>
  <c r="H13" i="3"/>
  <c r="G15" i="3"/>
  <c r="H15" i="3"/>
  <c r="I20" i="1"/>
  <c r="J20" i="1"/>
  <c r="C36" i="1"/>
  <c r="D36" i="1"/>
  <c r="D9" i="2"/>
  <c r="C9" i="2"/>
  <c r="D33" i="3"/>
  <c r="C33" i="3"/>
  <c r="D32" i="3"/>
  <c r="C10" i="3"/>
  <c r="D10" i="3"/>
  <c r="C32" i="3"/>
  <c r="D18" i="3"/>
  <c r="C18" i="3"/>
  <c r="H16" i="3"/>
  <c r="G16" i="3"/>
  <c r="D11" i="2"/>
  <c r="I7" i="1"/>
  <c r="J7" i="1"/>
  <c r="I6" i="1"/>
  <c r="J6" i="1"/>
  <c r="I19" i="1"/>
  <c r="J19" i="1"/>
  <c r="I22" i="1"/>
  <c r="J22" i="1"/>
  <c r="C7" i="3"/>
  <c r="D7" i="3"/>
  <c r="C9" i="3"/>
  <c r="D9" i="3"/>
  <c r="C13" i="3"/>
  <c r="D13" i="3"/>
  <c r="C15" i="3"/>
  <c r="D15" i="3"/>
  <c r="C17" i="3"/>
  <c r="D17" i="3"/>
  <c r="C7" i="2"/>
  <c r="D7" i="2"/>
  <c r="C11" i="2"/>
</calcChain>
</file>

<file path=xl/sharedStrings.xml><?xml version="1.0" encoding="utf-8"?>
<sst xmlns="http://schemas.openxmlformats.org/spreadsheetml/2006/main" count="260" uniqueCount="174">
  <si>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</si>
  <si>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</si>
  <si>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</si>
  <si>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</si>
  <si>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</si>
  <si>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</si>
  <si>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</si>
  <si>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</si>
  <si>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</si>
  <si>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</si>
  <si>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</si>
  <si>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</si>
  <si>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</si>
  <si>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</si>
  <si>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</si>
  <si>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</si>
  <si>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</si>
  <si>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</si>
  <si>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</si>
  <si>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</si>
  <si>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</si>
  <si>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</si>
  <si>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</si>
  <si>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</si>
  <si>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</si>
  <si>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</si>
  <si>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</si>
  <si>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</si>
  <si>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</si>
  <si>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</si>
  <si>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</si>
  <si>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</si>
  <si>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</si>
  <si>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</si>
  <si>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</si>
  <si>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</si>
  <si>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</si>
  <si>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</si>
  <si>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</si>
  <si>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</si>
  <si>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</si>
  <si>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</si>
  <si>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</si>
  <si>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</si>
  <si>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</si>
  <si>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</si>
  <si>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</si>
  <si>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</si>
  <si>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</si>
  <si>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</si>
  <si>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</si>
  <si>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</si>
  <si>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</si>
  <si>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</si>
  <si>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</si>
  <si>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</si>
  <si>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</si>
  <si>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</si>
  <si>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</si>
  <si>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</si>
  <si>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</si>
  <si>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</si>
  <si>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</si>
  <si>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</si>
  <si>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</si>
  <si>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</si>
  <si>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</si>
  <si>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</si>
  <si>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</si>
  <si>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</si>
  <si>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</si>
  <si>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</si>
  <si>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</si>
  <si>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</si>
  <si>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</si>
  <si>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</si>
  <si>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</si>
  <si>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</si>
  <si>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</si>
  <si>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</si>
  <si>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</si>
  <si>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</si>
  <si>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</si>
  <si>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</si>
  <si>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</si>
  <si>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</si>
  <si>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</si>
  <si>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</si>
  <si>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</si>
  <si>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</si>
  <si>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</si>
  <si>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</si>
  <si>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</si>
  <si>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</si>
  <si>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</si>
  <si>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</si>
  <si>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</si>
  <si>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</si>
  <si>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</si>
  <si>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</si>
  <si>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</si>
  <si>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</si>
  <si>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</si>
  <si>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</si>
  <si>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</si>
  <si>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</si>
  <si>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</si>
  <si>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</si>
  <si>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</si>
  <si>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</si>
  <si>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</si>
  <si>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</si>
  <si>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</si>
  <si>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</si>
  <si>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</si>
  <si>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</si>
  <si>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</si>
  <si>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</si>
  <si>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</si>
  <si>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</si>
  <si>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</si>
  <si>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</si>
  <si>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</si>
  <si>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</si>
  <si>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</si>
  <si>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</si>
  <si>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</si>
  <si>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</si>
  <si>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</si>
  <si>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</si>
  <si>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</si>
  <si>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</si>
  <si>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</si>
  <si>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</si>
  <si>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</si>
  <si>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</si>
  <si>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</si>
  <si>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</si>
  <si>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</si>
  <si>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</si>
  <si>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</si>
  <si>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</si>
  <si>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</si>
  <si>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</si>
  <si>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</si>
  <si>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</si>
  <si>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</si>
  <si>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</si>
  <si>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Egresos</t>
  </si>
  <si>
    <t>Ingresos</t>
  </si>
  <si>
    <t>Proyecto</t>
  </si>
  <si>
    <t>A</t>
  </si>
  <si>
    <t>B</t>
  </si>
  <si>
    <t>VAN(0%)</t>
  </si>
  <si>
    <t>VAN(12%)</t>
  </si>
  <si>
    <t>Período de recuperación</t>
  </si>
  <si>
    <t>Una empresa analiza introducir al mercado un nuevo producto, para lo cual debe realizar una inversiónen el instante 0 en activo fijo cuyo valor es de $1.000.000 más IVA del 10,5%.</t>
  </si>
  <si>
    <t>Se determinó un período de explotación de 3 años; el sistema de amortización es año fraccionario decreciente, el valor final de los bienes involucrados es de $200.000. La operación requiere en el año 1 un aumento de</t>
  </si>
  <si>
    <t>existencias de producción terminada por $50.000, de créditos a clientes por #30.000 y de disponibilidades de caja por $150.000. El crédito fiscal se recupera en el período 2, mientras que la inversión en activo fijo y de trabajo</t>
  </si>
  <si>
    <t>se recuperan al final del proyecto; la tasa de impuesto a las ganancias es del 40%. Se espera una Utilidad Neta antes de impuestos de 500.000 $/año durante toda la vigencia del proyecto.</t>
  </si>
  <si>
    <t>a) Calcular las cuotas de amortización y los valores residuales al finalizar cada año durante la vida útil</t>
  </si>
  <si>
    <t>b) Armar el Cuadro de Flujo de Fondos del Proyecto hasta el Beneficio Neto (VAN o%)</t>
  </si>
  <si>
    <t>c) Si el VAN al costo de oportunidad del inversor del 17%, calculado en el instante 0, fuera de $ 381.651, CALCULAR el Beneficio Normal o Interés sobre saldos a la tasa mencionada.</t>
  </si>
  <si>
    <t>d) Con los datos que posee, ¿invertiría en este proyecto?.</t>
  </si>
  <si>
    <t>e) Indique si la siguiente afirmación es VERDADERA (V) o FALSA (F), marcando con una X en el casillero que considere correcto:</t>
  </si>
  <si>
    <t>Al finalizar el año 3 la empresa vende el activo fijo, recibiendo por el mismo la suma de $215.000, debiendo abonar en concepto de alquiler para exposición y venta la suma de $21.000; por lo tanto la empresa se capitalizó.</t>
  </si>
  <si>
    <t>DECRECIENTE</t>
  </si>
  <si>
    <t>""</t>
  </si>
  <si>
    <t>"</t>
  </si>
  <si>
    <t>Beneficio extraordinario</t>
  </si>
  <si>
    <t>Beneficio normal</t>
  </si>
  <si>
    <t>SI</t>
  </si>
  <si>
    <t>VR AÑO 3 &gt; $194000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</si>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</sst>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&quot;$&quot;\ #,##0.00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/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/>
    </xf>
    <xf numFmtId="0" fontId="0" fillId="4" borderId="0" xfId="0" applyFill="1"/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ill="1" applyBorder="1"/>
    <xf numFmtId="164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6" fontId="4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vertical="top" wrapText="1"/>
    </xf>
    <xf numFmtId="6" fontId="4" fillId="0" borderId="0" xfId="0" applyNumberFormat="1" applyFont="1" applyFill="1" applyBorder="1" applyAlignment="1">
      <alignment horizontal="right" vertical="top" wrapText="1"/>
    </xf>
    <xf numFmtId="6" fontId="4" fillId="0" borderId="0" xfId="0" applyNumberFormat="1" applyFont="1" applyFill="1" applyBorder="1" applyAlignment="1">
      <alignment horizontal="center" wrapText="1"/>
    </xf>
    <xf numFmtId="164" fontId="0" fillId="5" borderId="1" xfId="0" applyNumberFormat="1" applyFill="1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0" xfId="0" applyNumberFormat="1"/>
    <xf numFmtId="3" fontId="0" fillId="0" borderId="1" xfId="0" applyNumberFormat="1" applyBorder="1" applyAlignment="1">
      <alignment horizontal="right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tabSelected="1" workbookViewId="0">
      <selection activeCell="N18" sqref="N18"/>
    </sheetView>
  </sheetViews>
  <sheetFormatPr baseColWidth="10" defaultRowHeight="15" x14ac:dyDescent="0.25"/>
  <cols>
    <col min="1" max="1" width="14.140625" customWidth="1"/>
    <col min="2" max="2" width="15.28515625" customWidth="1"/>
    <col min="3" max="3" width="14.42578125" customWidth="1"/>
    <col min="4" max="4" width="31.140625" customWidth="1"/>
    <col min="5" max="5" width="13.285156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ht="15.75" customHeight="1" x14ac:dyDescent="0.25">
      <c r="A1" s="53" t="s">
        <v>156</v>
      </c>
      <c r="B1" s="47"/>
      <c r="C1" s="47"/>
      <c r="D1" s="47"/>
      <c r="E1" s="47"/>
      <c r="F1" s="36"/>
      <c r="G1" s="36"/>
      <c r="H1" s="36"/>
      <c r="I1" s="36"/>
      <c r="J1" s="36"/>
      <c r="K1" s="36"/>
      <c r="L1" s="36"/>
      <c r="M1" s="34"/>
      <c r="N1" s="34"/>
      <c r="O1" s="34"/>
      <c r="P1" s="34"/>
      <c r="Q1" s="34"/>
      <c r="R1" s="1"/>
      <c r="S1" s="1"/>
      <c r="T1" s="1"/>
    </row>
    <row r="2" spans="1:20" ht="15.75" customHeight="1" x14ac:dyDescent="0.25">
      <c r="A2" s="24" t="s">
        <v>157</v>
      </c>
      <c r="B2" s="75"/>
      <c r="C2" s="24"/>
      <c r="D2" s="24"/>
      <c r="E2" s="24"/>
      <c r="F2" s="24"/>
      <c r="G2" s="24"/>
      <c r="H2" s="24"/>
      <c r="I2" s="38"/>
      <c r="J2" s="38"/>
      <c r="K2" s="38"/>
      <c r="L2" s="38"/>
      <c r="M2" s="32"/>
      <c r="N2" s="32"/>
      <c r="O2" s="18"/>
      <c r="P2" s="18"/>
      <c r="Q2" s="18"/>
    </row>
    <row r="3" spans="1:20" ht="15.75" customHeight="1" x14ac:dyDescent="0.25">
      <c r="A3" s="48" t="s">
        <v>158</v>
      </c>
      <c r="B3" s="56"/>
      <c r="C3" s="51"/>
      <c r="D3" s="51"/>
      <c r="E3" s="51"/>
      <c r="F3" s="51"/>
      <c r="G3" s="38"/>
      <c r="H3" s="38"/>
      <c r="I3" s="38"/>
      <c r="J3" s="38"/>
      <c r="K3" s="38"/>
      <c r="L3" s="38"/>
      <c r="M3" s="33"/>
      <c r="N3" s="33"/>
      <c r="O3" s="18"/>
      <c r="P3" s="18"/>
      <c r="Q3" s="18"/>
    </row>
    <row r="4" spans="1:20" ht="15.75" customHeight="1" x14ac:dyDescent="0.25">
      <c r="A4" s="51" t="s">
        <v>159</v>
      </c>
      <c r="B4" s="57"/>
      <c r="C4" s="48"/>
      <c r="D4" s="48"/>
      <c r="E4" s="51"/>
      <c r="F4" s="47"/>
      <c r="G4" s="37"/>
      <c r="H4" s="37"/>
      <c r="I4" s="24"/>
      <c r="J4" s="24"/>
      <c r="K4" s="24"/>
      <c r="L4" s="24"/>
      <c r="M4" s="33"/>
      <c r="N4" s="33"/>
      <c r="O4" s="18"/>
      <c r="P4" s="18"/>
      <c r="Q4" s="18"/>
    </row>
    <row r="5" spans="1:20" ht="15.75" customHeight="1" x14ac:dyDescent="0.25">
      <c r="A5" s="48"/>
      <c r="B5" s="56"/>
      <c r="C5" s="51"/>
      <c r="D5" s="51"/>
      <c r="E5" s="51"/>
      <c r="F5" s="47"/>
      <c r="G5" s="37"/>
      <c r="H5" s="46"/>
      <c r="I5" s="24"/>
      <c r="J5" s="24"/>
      <c r="K5" s="24"/>
      <c r="L5" s="24"/>
      <c r="M5" s="24"/>
      <c r="N5" s="24"/>
      <c r="O5" s="18"/>
      <c r="P5" s="18"/>
      <c r="Q5" s="18"/>
    </row>
    <row r="6" spans="1:20" ht="15.75" customHeight="1" x14ac:dyDescent="0.25">
      <c r="A6" s="48" t="s">
        <v>160</v>
      </c>
      <c r="B6" s="58"/>
      <c r="C6" s="47"/>
      <c r="D6" s="48"/>
      <c r="E6" s="52"/>
      <c r="F6" s="51"/>
      <c r="G6" s="37"/>
      <c r="H6" s="46"/>
      <c r="I6" s="38"/>
      <c r="J6" s="38"/>
      <c r="K6" s="38"/>
      <c r="L6" s="38"/>
      <c r="M6" s="24"/>
      <c r="N6" s="24"/>
      <c r="O6" s="18"/>
      <c r="P6" s="18"/>
      <c r="Q6" s="18"/>
    </row>
    <row r="7" spans="1:20" x14ac:dyDescent="0.25">
      <c r="A7" s="48" t="s">
        <v>161</v>
      </c>
      <c r="B7" s="54"/>
      <c r="C7" s="47"/>
      <c r="D7" s="48"/>
      <c r="E7" s="24"/>
      <c r="F7" s="51"/>
      <c r="G7" s="38"/>
      <c r="H7" s="38"/>
      <c r="I7" s="24"/>
      <c r="J7" s="24"/>
      <c r="K7" s="24"/>
      <c r="L7" s="24"/>
      <c r="M7" s="24"/>
      <c r="N7" s="24"/>
      <c r="O7" s="18"/>
      <c r="P7" s="18"/>
      <c r="Q7" s="18"/>
    </row>
    <row r="8" spans="1:20" x14ac:dyDescent="0.25">
      <c r="A8" s="51" t="s">
        <v>162</v>
      </c>
      <c r="B8" s="54"/>
      <c r="C8" s="47"/>
      <c r="D8" s="77"/>
      <c r="E8" s="77"/>
      <c r="F8" s="77"/>
      <c r="G8" s="77"/>
      <c r="H8" s="77"/>
      <c r="I8" s="77"/>
      <c r="J8" s="24"/>
      <c r="P8" s="18"/>
      <c r="Q8" s="18"/>
    </row>
    <row r="9" spans="1:20" x14ac:dyDescent="0.25">
      <c r="A9" s="48" t="s">
        <v>163</v>
      </c>
      <c r="B9" s="54"/>
      <c r="C9" s="47"/>
      <c r="D9" s="76"/>
      <c r="E9" s="90" t="s">
        <v>171</v>
      </c>
      <c r="F9" s="76"/>
      <c r="G9" s="77"/>
      <c r="H9" s="77"/>
      <c r="I9" s="76"/>
      <c r="J9" s="24"/>
      <c r="P9" s="18"/>
      <c r="Q9" s="18"/>
    </row>
    <row r="10" spans="1:20" x14ac:dyDescent="0.25">
      <c r="A10" s="48" t="s">
        <v>164</v>
      </c>
      <c r="B10" s="55"/>
      <c r="C10" s="51"/>
      <c r="D10" s="76"/>
      <c r="E10" s="78"/>
      <c r="F10" s="79"/>
      <c r="G10" s="80"/>
      <c r="H10" s="80"/>
      <c r="I10" s="81"/>
      <c r="J10" s="24"/>
      <c r="P10" s="18"/>
      <c r="Q10" s="18"/>
    </row>
    <row r="11" spans="1:20" x14ac:dyDescent="0.25">
      <c r="A11" s="48" t="s">
        <v>165</v>
      </c>
      <c r="B11" s="55"/>
      <c r="C11" s="51"/>
      <c r="D11" s="76"/>
      <c r="E11" s="79"/>
      <c r="F11" s="78"/>
      <c r="G11" s="80"/>
      <c r="H11" s="80"/>
      <c r="I11" s="81"/>
      <c r="J11" s="24"/>
      <c r="L11" t="s">
        <v>172</v>
      </c>
      <c r="N11" s="91" t="s">
        <v>173</v>
      </c>
      <c r="P11" s="18"/>
      <c r="Q11" s="18"/>
    </row>
    <row r="12" spans="1:20" x14ac:dyDescent="0.25">
      <c r="A12" s="51"/>
      <c r="B12" s="55"/>
      <c r="C12" s="51"/>
      <c r="D12" s="76"/>
      <c r="E12" s="79"/>
      <c r="F12" s="78"/>
      <c r="G12" s="80"/>
      <c r="H12" s="80"/>
      <c r="I12" s="81"/>
      <c r="J12" s="24"/>
      <c r="P12" s="18"/>
      <c r="Q12" s="18"/>
    </row>
    <row r="13" spans="1:20" x14ac:dyDescent="0.25">
      <c r="A13" s="24"/>
      <c r="B13" s="24"/>
      <c r="C13" s="24"/>
      <c r="D13" s="76"/>
      <c r="E13" s="79"/>
      <c r="F13" s="78"/>
      <c r="G13" s="80"/>
      <c r="H13" s="80"/>
      <c r="I13" s="81"/>
      <c r="J13" s="24"/>
      <c r="P13" s="18"/>
      <c r="Q13" s="18"/>
    </row>
    <row r="14" spans="1:20" x14ac:dyDescent="0.25">
      <c r="A14" s="38"/>
      <c r="B14" s="38"/>
      <c r="C14" s="38"/>
      <c r="D14" s="37"/>
      <c r="E14" s="79"/>
      <c r="F14" s="78"/>
      <c r="G14" s="80"/>
      <c r="H14" s="80"/>
      <c r="I14" s="81"/>
      <c r="J14" s="24"/>
      <c r="P14" s="18"/>
      <c r="Q14" s="18"/>
    </row>
    <row r="15" spans="1:20" x14ac:dyDescent="0.25">
      <c r="A15" s="24"/>
      <c r="B15" s="38"/>
      <c r="C15" s="38"/>
      <c r="D15" s="37"/>
      <c r="E15" s="38"/>
      <c r="F15" s="38"/>
      <c r="G15" s="38"/>
      <c r="H15" s="38"/>
      <c r="I15" s="38"/>
      <c r="J15" s="38"/>
      <c r="K15" s="38"/>
      <c r="L15" s="38"/>
      <c r="M15" s="24"/>
      <c r="N15" s="24"/>
      <c r="O15" s="18"/>
      <c r="P15" s="18"/>
      <c r="Q15" s="18"/>
    </row>
    <row r="16" spans="1:20" x14ac:dyDescent="0.25">
      <c r="A16" s="51"/>
      <c r="B16" s="24"/>
      <c r="C16" s="24"/>
      <c r="D16" s="77"/>
      <c r="E16" s="77"/>
      <c r="F16" s="77"/>
      <c r="G16" s="77"/>
      <c r="H16" s="77"/>
      <c r="I16" s="77"/>
      <c r="J16" s="38"/>
      <c r="K16" s="38"/>
      <c r="L16" s="38"/>
      <c r="M16" s="24"/>
      <c r="N16" s="24"/>
      <c r="O16" s="18"/>
      <c r="P16" s="18"/>
      <c r="Q16" s="18"/>
    </row>
    <row r="17" spans="1:17" x14ac:dyDescent="0.25">
      <c r="A17" s="24"/>
      <c r="B17" s="41"/>
      <c r="C17" s="41"/>
      <c r="D17" s="76"/>
      <c r="E17" s="76"/>
      <c r="F17" s="76"/>
      <c r="G17" s="77"/>
      <c r="H17" s="77"/>
      <c r="I17" s="76"/>
      <c r="J17" s="38"/>
      <c r="K17" s="38"/>
      <c r="L17" s="38"/>
      <c r="M17" s="24"/>
      <c r="N17" s="24"/>
      <c r="O17" s="18"/>
      <c r="P17" s="18"/>
      <c r="Q17" s="18"/>
    </row>
    <row r="18" spans="1:17" x14ac:dyDescent="0.25">
      <c r="A18" s="24"/>
      <c r="B18" s="24"/>
      <c r="C18" s="24"/>
      <c r="D18" s="76"/>
      <c r="E18" s="78"/>
      <c r="F18" s="79"/>
      <c r="G18" s="80"/>
      <c r="H18" s="80"/>
      <c r="I18" s="81"/>
      <c r="J18" s="38"/>
      <c r="K18" s="38"/>
      <c r="L18" s="38"/>
      <c r="M18" s="24"/>
      <c r="N18" s="24"/>
      <c r="O18" s="18"/>
      <c r="P18" s="18"/>
      <c r="Q18" s="18"/>
    </row>
    <row r="19" spans="1:17" x14ac:dyDescent="0.25">
      <c r="A19" s="24"/>
      <c r="B19" s="24"/>
      <c r="C19" s="24"/>
      <c r="D19" s="76"/>
      <c r="E19" s="79"/>
      <c r="F19" s="78"/>
      <c r="G19" s="80"/>
      <c r="H19" s="80"/>
      <c r="I19" s="81"/>
      <c r="J19" s="24"/>
      <c r="K19" s="24"/>
      <c r="L19" s="24"/>
      <c r="M19" s="24"/>
      <c r="N19" s="24"/>
      <c r="O19" s="18"/>
      <c r="P19" s="18"/>
      <c r="Q19" s="18"/>
    </row>
    <row r="20" spans="1:17" x14ac:dyDescent="0.25">
      <c r="A20" s="36"/>
      <c r="B20" s="36"/>
      <c r="C20" s="36"/>
      <c r="D20" s="76"/>
      <c r="E20" s="79"/>
      <c r="F20" s="78"/>
      <c r="G20" s="80"/>
      <c r="H20" s="80"/>
      <c r="I20" s="81"/>
      <c r="J20" s="29"/>
      <c r="K20" s="24"/>
      <c r="L20" s="24"/>
      <c r="M20" s="24"/>
      <c r="N20" s="24"/>
      <c r="O20" s="18"/>
      <c r="P20" s="18"/>
      <c r="Q20" s="18"/>
    </row>
    <row r="21" spans="1:17" x14ac:dyDescent="0.25">
      <c r="A21" s="42"/>
      <c r="B21" s="38"/>
      <c r="C21" s="38"/>
      <c r="D21" s="76"/>
      <c r="E21" s="79"/>
      <c r="F21" s="78"/>
      <c r="G21" s="80"/>
      <c r="H21" s="80"/>
      <c r="I21" s="81"/>
      <c r="J21" s="24"/>
      <c r="K21" s="24"/>
      <c r="L21" s="24"/>
      <c r="M21" s="24"/>
      <c r="N21" s="24"/>
      <c r="O21" s="18"/>
      <c r="P21" s="18"/>
    </row>
    <row r="22" spans="1:17" x14ac:dyDescent="0.25">
      <c r="A22" s="42"/>
      <c r="B22" s="38"/>
      <c r="C22" s="38"/>
      <c r="D22" s="76"/>
      <c r="E22" s="79"/>
      <c r="F22" s="78"/>
      <c r="G22" s="80"/>
      <c r="H22" s="80"/>
      <c r="I22" s="81"/>
      <c r="J22" s="24"/>
      <c r="K22" s="24"/>
      <c r="L22" s="24"/>
      <c r="M22" s="24"/>
      <c r="N22" s="24"/>
      <c r="O22" s="18"/>
      <c r="P22" s="18"/>
    </row>
    <row r="23" spans="1:17" x14ac:dyDescent="0.25">
      <c r="A23" s="42"/>
      <c r="B23" s="24"/>
      <c r="C23" s="24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18"/>
      <c r="P23" s="18"/>
    </row>
    <row r="24" spans="1:17" x14ac:dyDescent="0.25">
      <c r="A24" s="24"/>
      <c r="B24" s="24"/>
      <c r="C24" s="24"/>
      <c r="D24" s="24"/>
      <c r="E24" s="25"/>
      <c r="F24" s="24"/>
      <c r="G24" s="24"/>
      <c r="H24" s="24"/>
      <c r="I24" s="24"/>
      <c r="J24" s="24"/>
      <c r="K24" s="24"/>
      <c r="L24" s="24"/>
      <c r="M24" s="18"/>
      <c r="N24" s="18"/>
      <c r="O24" s="18"/>
      <c r="P24" s="18"/>
    </row>
    <row r="25" spans="1:17" x14ac:dyDescent="0.25">
      <c r="A25" s="24"/>
      <c r="B25" s="38"/>
      <c r="C25" s="38"/>
      <c r="D25" s="38"/>
      <c r="E25" s="25"/>
      <c r="F25" s="24"/>
      <c r="G25" s="24"/>
      <c r="H25" s="39"/>
      <c r="I25" s="39"/>
      <c r="J25" s="39"/>
      <c r="K25" s="24"/>
      <c r="L25" s="24"/>
    </row>
    <row r="26" spans="1:17" x14ac:dyDescent="0.25">
      <c r="A26" s="42"/>
      <c r="B26" s="38"/>
      <c r="C26" s="38"/>
      <c r="D26" s="24"/>
      <c r="E26" s="24"/>
      <c r="F26" s="24"/>
      <c r="G26" s="24"/>
      <c r="H26" s="24"/>
      <c r="I26" s="24"/>
      <c r="J26" s="24"/>
      <c r="K26" s="24"/>
      <c r="L26" s="24"/>
    </row>
    <row r="27" spans="1:17" x14ac:dyDescent="0.25">
      <c r="A27" s="43"/>
      <c r="B27" s="38"/>
      <c r="C27" s="38"/>
      <c r="D27" s="24"/>
      <c r="E27" s="24"/>
      <c r="F27" s="24"/>
      <c r="G27" s="24"/>
      <c r="H27" s="24"/>
      <c r="I27" s="24"/>
      <c r="J27" s="24"/>
      <c r="K27" s="24"/>
      <c r="L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7" x14ac:dyDescent="0.25">
      <c r="A29" s="24"/>
      <c r="B29" s="24"/>
      <c r="C29" s="24"/>
      <c r="D29" s="24"/>
      <c r="E29" s="24"/>
      <c r="F29" s="24"/>
      <c r="G29" s="29"/>
      <c r="H29" s="29"/>
      <c r="I29" s="29"/>
      <c r="J29" s="29"/>
      <c r="K29" s="24"/>
      <c r="L29" s="24"/>
    </row>
    <row r="30" spans="1:17" x14ac:dyDescent="0.25">
      <c r="A30" s="24"/>
      <c r="B30" s="38"/>
      <c r="C30" s="38"/>
      <c r="D30" s="38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6"/>
      <c r="B31" s="36"/>
      <c r="C31" s="36"/>
      <c r="D31" s="36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7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6"/>
      <c r="B33" s="36"/>
      <c r="C33" s="36"/>
      <c r="D33" s="36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6"/>
      <c r="B34" s="36"/>
      <c r="C34" s="36"/>
      <c r="D34" s="36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42"/>
      <c r="B35" s="41"/>
      <c r="C35" s="41"/>
      <c r="D35" s="44"/>
      <c r="E35" s="44"/>
      <c r="F35" s="45"/>
      <c r="G35" s="45"/>
      <c r="H35" s="41"/>
      <c r="I35" s="41"/>
      <c r="J35" s="41"/>
      <c r="K35" s="41"/>
      <c r="L35" s="41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6"/>
      <c r="C44" s="36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5.2851562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137</v>
      </c>
      <c r="H4" s="9"/>
      <c r="I4" s="40">
        <f>IFERROR(J3/D38,0)</f>
        <v>0</v>
      </c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" si="1">IF(H5&gt;0,H5,I5)</f>
        <v>0</v>
      </c>
    </row>
    <row r="6" spans="1:10" x14ac:dyDescent="0.25">
      <c r="A6" s="4" t="s">
        <v>118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 ca="1">J7*D36</f>
        <v>0</v>
      </c>
      <c r="J6" s="10">
        <f ca="1">IF(H6&gt;0,H6,I6)</f>
        <v>0</v>
      </c>
    </row>
    <row r="7" spans="1:10" x14ac:dyDescent="0.25">
      <c r="A7" s="4" t="s">
        <v>107</v>
      </c>
      <c r="B7" s="9"/>
      <c r="C7" s="11"/>
      <c r="D7" s="10">
        <f t="shared" ref="D7" si="3">IF(B7&gt;0,B7,C7)</f>
        <v>0</v>
      </c>
      <c r="G7" s="5" t="s">
        <v>136</v>
      </c>
      <c r="H7" s="9"/>
      <c r="I7" s="10">
        <f ca="1">J19</f>
        <v>0</v>
      </c>
      <c r="J7" s="10">
        <f ca="1">IF(H7&gt;0,H7,I7)</f>
        <v>0</v>
      </c>
    </row>
    <row r="8" spans="1:10" x14ac:dyDescent="0.25">
      <c r="A8" s="4" t="s">
        <v>108</v>
      </c>
      <c r="B8" s="9"/>
      <c r="C8" s="11"/>
      <c r="D8" s="10">
        <f t="shared" ref="D8:D15" si="4">IF(B8&gt;0,B8,C8)</f>
        <v>0</v>
      </c>
      <c r="G8" s="4" t="s">
        <v>19</v>
      </c>
      <c r="H8" s="9"/>
      <c r="I8" s="10"/>
      <c r="J8" s="10">
        <f t="shared" ref="J8:J12" si="5">IF(H8&gt;0,H8,I8)</f>
        <v>0</v>
      </c>
    </row>
    <row r="9" spans="1:10" x14ac:dyDescent="0.25">
      <c r="A9" s="4" t="s">
        <v>109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110</v>
      </c>
      <c r="B10" s="9"/>
      <c r="C10" s="10"/>
      <c r="D10" s="10">
        <f t="shared" si="4"/>
        <v>0</v>
      </c>
      <c r="G10" s="4" t="s">
        <v>22</v>
      </c>
      <c r="H10" s="10"/>
      <c r="I10" s="10"/>
      <c r="J10" s="10">
        <f t="shared" si="5"/>
        <v>0</v>
      </c>
    </row>
    <row r="11" spans="1:10" x14ac:dyDescent="0.25">
      <c r="A11" s="4" t="s">
        <v>112</v>
      </c>
      <c r="B11" s="9"/>
      <c r="C11" s="10"/>
      <c r="D11" s="10">
        <f t="shared" si="4"/>
        <v>0</v>
      </c>
      <c r="G11" s="4" t="s">
        <v>43</v>
      </c>
      <c r="H11" s="9"/>
      <c r="I11" s="10">
        <f ca="1">J3+J6+J9</f>
        <v>0</v>
      </c>
      <c r="J11" s="10">
        <f ca="1">IF(H11&gt;0,H11,I11)</f>
        <v>0</v>
      </c>
    </row>
    <row r="12" spans="1:10" x14ac:dyDescent="0.25">
      <c r="A12" s="4" t="s">
        <v>111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0</v>
      </c>
      <c r="J12" s="10">
        <f t="shared" si="5"/>
        <v>0</v>
      </c>
    </row>
    <row r="13" spans="1:10" x14ac:dyDescent="0.25">
      <c r="A13" s="4" t="s">
        <v>113</v>
      </c>
      <c r="B13" s="9"/>
      <c r="C13" s="10"/>
      <c r="D13" s="10">
        <f t="shared" si="4"/>
        <v>0</v>
      </c>
    </row>
    <row r="14" spans="1:10" x14ac:dyDescent="0.25">
      <c r="A14" s="4" t="s">
        <v>114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115</v>
      </c>
      <c r="B15" s="9"/>
      <c r="C15" s="10"/>
      <c r="D15" s="10">
        <f t="shared" si="4"/>
        <v>0</v>
      </c>
      <c r="G15" s="16" t="s">
        <v>130</v>
      </c>
      <c r="H15" s="22"/>
      <c r="I15" s="21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21">
        <f t="shared" ref="J15" si="6">IF(H15&gt;0,H15,I15)</f>
        <v>0</v>
      </c>
    </row>
    <row r="16" spans="1:10" x14ac:dyDescent="0.25">
      <c r="A16" s="4" t="s">
        <v>120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131</v>
      </c>
      <c r="H16" s="22"/>
      <c r="I16" s="21"/>
      <c r="J16" s="21">
        <f t="shared" ref="J16" si="8">IF(H16&gt;0,H16,I16)</f>
        <v>0</v>
      </c>
    </row>
    <row r="17" spans="1:10" x14ac:dyDescent="0.25">
      <c r="A17" s="4" t="s">
        <v>121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103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0</v>
      </c>
      <c r="D19" s="10">
        <f>IF(B19&gt;0,B19,C19)</f>
        <v>0</v>
      </c>
      <c r="G19" s="13" t="s">
        <v>53</v>
      </c>
      <c r="H19" s="21"/>
      <c r="I19" s="21">
        <f ca="1">IF('Sistemas de costeo'!B2="DIRECTO",(J15+J16+J6)/D36,IF('Sistemas de costeo'!B2="ABSORCIÓN",(J15+J16+J6+J8)/D36))</f>
        <v>0</v>
      </c>
      <c r="J19" s="21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 ca="1">J19*D36</f>
        <v>0</v>
      </c>
      <c r="J20" s="21">
        <f ca="1">IF(H20&gt;0,H20,I20)</f>
        <v>0</v>
      </c>
    </row>
    <row r="21" spans="1:10" x14ac:dyDescent="0.25">
      <c r="A21" s="4" t="s">
        <v>104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 ca="1">J20</f>
        <v>0</v>
      </c>
      <c r="J21" s="21">
        <f ca="1">IF(H21&gt;0,H21,I21)</f>
        <v>0</v>
      </c>
    </row>
    <row r="22" spans="1:10" x14ac:dyDescent="0.25">
      <c r="A22" s="4" t="s">
        <v>119</v>
      </c>
      <c r="B22" s="10"/>
      <c r="C22" s="10"/>
      <c r="D22" s="10">
        <f t="shared" si="11"/>
        <v>0</v>
      </c>
      <c r="G22" s="16" t="s">
        <v>36</v>
      </c>
      <c r="H22" s="21"/>
      <c r="I22" s="21">
        <f ca="1">IF(B33="FIFO",IF(B37&gt;D38,D38*J17,J18+((D38-B37)*J19)),IF(B33="LIFO",IF(D36&gt;D38,D38*J19,J20+((D38-B36)*J17))))</f>
        <v>0</v>
      </c>
      <c r="J22" s="21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146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147</v>
      </c>
      <c r="B27" s="15"/>
      <c r="C27" s="3" t="s">
        <v>46</v>
      </c>
      <c r="D27" s="3" t="s">
        <v>46</v>
      </c>
      <c r="G27" s="13" t="s">
        <v>98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99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102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100</v>
      </c>
      <c r="B30" s="12"/>
      <c r="C30" s="12">
        <f>IFERROR(D21/D22,0)</f>
        <v>0</v>
      </c>
      <c r="D30" s="12">
        <f>IF(B30&gt;0,B30,C30)</f>
        <v>0</v>
      </c>
      <c r="G30" s="13" t="s">
        <v>97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101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105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 ca="1">AVERAGE(J31,J33)</f>
        <v>0</v>
      </c>
      <c r="J32" s="21">
        <f ca="1">IF(H32&gt;0,H32,I32)</f>
        <v>0</v>
      </c>
    </row>
    <row r="33" spans="1:10" x14ac:dyDescent="0.25">
      <c r="A33" s="6" t="s">
        <v>57</v>
      </c>
      <c r="B33" s="3" t="s">
        <v>143</v>
      </c>
      <c r="G33" s="16" t="s">
        <v>116</v>
      </c>
      <c r="H33" s="21"/>
      <c r="I33" s="22">
        <f ca="1">J31+'Sistemas de costeo'!D17</f>
        <v>0</v>
      </c>
      <c r="J33" s="21">
        <f ca="1">IF(H33&gt;0,H33,I33)</f>
        <v>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/>
      <c r="C36" s="5">
        <f ca="1">J20/J19</f>
        <v>0</v>
      </c>
      <c r="D36" s="5">
        <f ca="1">IF(B36&gt;0,B36,C36)</f>
        <v>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5">
        <f>'Sistemas de costeo'!D27+'Sistemas de costeo'!D28-'Sistemas de costeo'!D29</f>
        <v>0</v>
      </c>
      <c r="D38" s="35">
        <f>IF(B38&gt;0,B38,C38)</f>
        <v>0</v>
      </c>
    </row>
    <row r="39" spans="1:10" x14ac:dyDescent="0.25">
      <c r="A39" s="5" t="s">
        <v>59</v>
      </c>
      <c r="B39" s="10"/>
      <c r="C39" s="11" t="s">
        <v>46</v>
      </c>
      <c r="D39" s="11" t="s">
        <v>46</v>
      </c>
    </row>
    <row r="40" spans="1:10" x14ac:dyDescent="0.25">
      <c r="A40" s="13" t="s">
        <v>126</v>
      </c>
      <c r="B40" s="5"/>
      <c r="C40" s="5">
        <f>'Sistemas de costeo'!D22+'Sistemas de costeo'!D23-'Sistemas de costeo'!D24</f>
        <v>0</v>
      </c>
      <c r="D40" s="35">
        <f>IF(B40&gt;0,B40,C40)</f>
        <v>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E36" sqref="E36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145</v>
      </c>
    </row>
    <row r="3" spans="1:8" x14ac:dyDescent="0.25">
      <c r="A3" s="29"/>
      <c r="B3" s="29"/>
    </row>
    <row r="4" spans="1:8" x14ac:dyDescent="0.25">
      <c r="A4" s="60" t="s">
        <v>37</v>
      </c>
      <c r="B4" s="60"/>
      <c r="C4" s="60"/>
      <c r="D4" s="60"/>
      <c r="E4" s="60" t="s">
        <v>38</v>
      </c>
      <c r="F4" s="60"/>
      <c r="G4" s="60"/>
      <c r="H4" s="60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0</v>
      </c>
      <c r="D6" s="21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3" t="s">
        <v>36</v>
      </c>
      <c r="B7" s="21"/>
      <c r="C7" s="21">
        <f ca="1">'Cuentas y Costos'!J22</f>
        <v>0</v>
      </c>
      <c r="D7" s="21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ca="1">IF(F7&gt;0,F7,G7)</f>
        <v>0</v>
      </c>
    </row>
    <row r="8" spans="1:8" x14ac:dyDescent="0.25">
      <c r="A8" s="13" t="s">
        <v>40</v>
      </c>
      <c r="B8" s="21"/>
      <c r="C8" s="21">
        <f>'Cuentas y Costos'!J3</f>
        <v>0</v>
      </c>
      <c r="D8" s="21">
        <f t="shared" si="0"/>
        <v>0</v>
      </c>
      <c r="E8" s="13" t="s">
        <v>144</v>
      </c>
      <c r="F8" s="21"/>
      <c r="G8" s="21">
        <f ca="1">H6-H7</f>
        <v>0</v>
      </c>
      <c r="H8" s="21">
        <f ca="1">IF(F8&gt;0,F8,G8)</f>
        <v>0</v>
      </c>
    </row>
    <row r="9" spans="1:8" x14ac:dyDescent="0.25">
      <c r="A9" s="13" t="s">
        <v>41</v>
      </c>
      <c r="B9" s="21"/>
      <c r="C9" s="21">
        <f ca="1">D6-D7-D8</f>
        <v>0</v>
      </c>
      <c r="D9" s="22">
        <f ca="1">IF(B9&gt;0,B9,C9)</f>
        <v>0</v>
      </c>
      <c r="E9" s="13" t="s">
        <v>42</v>
      </c>
      <c r="F9" s="21"/>
      <c r="G9" s="21">
        <f>'Cuentas y Costos'!J12-'Cuentas y Costos'!J8</f>
        <v>0</v>
      </c>
      <c r="H9" s="21">
        <f t="shared" ref="H9" si="2">IF(F9&gt;0,F9,G9)</f>
        <v>0</v>
      </c>
    </row>
    <row r="10" spans="1:8" x14ac:dyDescent="0.25">
      <c r="A10" s="13" t="s">
        <v>135</v>
      </c>
      <c r="B10" s="21"/>
      <c r="C10" s="21">
        <f ca="1">'Cuentas y Costos'!B39-'Cuentas y Costos'!J4-'Cuentas y Costos'!J7</f>
        <v>0</v>
      </c>
      <c r="D10" s="22">
        <f ca="1">IF(B10&gt;0,B10,C10)</f>
        <v>0</v>
      </c>
      <c r="E10" s="13" t="s">
        <v>43</v>
      </c>
      <c r="F10" s="21"/>
      <c r="G10" s="21">
        <f ca="1">'Cuentas y Costos'!J11-'Cuentas y Costos'!J6</f>
        <v>0</v>
      </c>
      <c r="H10" s="21">
        <f ca="1">IF(F10&gt;0,F10,G10)</f>
        <v>0</v>
      </c>
    </row>
    <row r="11" spans="1:8" x14ac:dyDescent="0.25">
      <c r="A11" s="13" t="s">
        <v>42</v>
      </c>
      <c r="B11" s="21"/>
      <c r="C11" s="21">
        <f>'Cuentas y Costos'!J12</f>
        <v>0</v>
      </c>
      <c r="D11" s="21">
        <f t="shared" ref="D11:D14" si="3">IF(B11&gt;0,B11,C11)</f>
        <v>0</v>
      </c>
      <c r="E11" s="13" t="s">
        <v>44</v>
      </c>
      <c r="F11" s="21"/>
      <c r="G11" s="21">
        <f ca="1">H8-H9-H10</f>
        <v>0</v>
      </c>
      <c r="H11" s="21">
        <f ca="1">IF(F11&gt;0,F11,G11)</f>
        <v>0</v>
      </c>
    </row>
    <row r="12" spans="1:8" x14ac:dyDescent="0.25">
      <c r="A12" s="13" t="s">
        <v>43</v>
      </c>
      <c r="B12" s="21"/>
      <c r="C12" s="21">
        <f ca="1">'Cuentas y Costos'!J11-D8-'Cuentas y Costos'!J6</f>
        <v>0</v>
      </c>
      <c r="D12" s="21">
        <f ca="1"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 ca="1">D9-D11-D12</f>
        <v>0</v>
      </c>
      <c r="D13" s="22">
        <f ca="1">IF(B13&gt;0,B13,C13)</f>
        <v>0</v>
      </c>
      <c r="E13" s="13" t="s">
        <v>49</v>
      </c>
      <c r="F13" s="21"/>
      <c r="G13" s="21">
        <f ca="1">H11-H12</f>
        <v>0</v>
      </c>
      <c r="H13" s="22">
        <f ca="1">IF(F13&gt;0,F13,G13)</f>
        <v>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 ca="1">D13-D14</f>
        <v>0</v>
      </c>
      <c r="D15" s="22">
        <f ca="1">IF(B15&gt;0,B15,C15)</f>
        <v>0</v>
      </c>
      <c r="E15" s="13" t="s">
        <v>117</v>
      </c>
      <c r="F15" s="21"/>
      <c r="G15" s="21">
        <f ca="1">H13-(H13*F14)</f>
        <v>0</v>
      </c>
      <c r="H15" s="22">
        <f ca="1">IF(F15&gt;0,F15,G15)</f>
        <v>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 ca="1">IF(F16&gt;0,F16,G16)</f>
        <v>0</v>
      </c>
    </row>
    <row r="17" spans="1:4" x14ac:dyDescent="0.25">
      <c r="A17" s="13" t="s">
        <v>117</v>
      </c>
      <c r="B17" s="21"/>
      <c r="C17" s="21">
        <f ca="1">D15-(D15*B16)</f>
        <v>0</v>
      </c>
      <c r="D17" s="22">
        <f ca="1">IF(B17&gt;0,B17,C17)</f>
        <v>0</v>
      </c>
    </row>
    <row r="18" spans="1:4" x14ac:dyDescent="0.25">
      <c r="A18" s="13" t="s">
        <v>56</v>
      </c>
      <c r="B18" s="21"/>
      <c r="C18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 ca="1">IF(B18&gt;0,B18,C18)</f>
        <v>0</v>
      </c>
    </row>
    <row r="21" spans="1:4" x14ac:dyDescent="0.25">
      <c r="A21" s="6" t="s">
        <v>132</v>
      </c>
      <c r="B21" s="6" t="s">
        <v>122</v>
      </c>
      <c r="C21" s="6" t="s">
        <v>11</v>
      </c>
      <c r="D21" s="6" t="s">
        <v>45</v>
      </c>
    </row>
    <row r="22" spans="1:4" x14ac:dyDescent="0.25">
      <c r="A22" s="5" t="s">
        <v>123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124</v>
      </c>
      <c r="B23" s="5"/>
      <c r="C23" s="5"/>
      <c r="D23" s="5">
        <f t="shared" si="4"/>
        <v>0</v>
      </c>
    </row>
    <row r="24" spans="1:4" x14ac:dyDescent="0.25">
      <c r="A24" s="5" t="s">
        <v>125</v>
      </c>
      <c r="B24" s="5"/>
      <c r="C24" s="5"/>
      <c r="D24" s="5">
        <f t="shared" si="4"/>
        <v>0</v>
      </c>
    </row>
    <row r="25" spans="1:4" x14ac:dyDescent="0.25">
      <c r="A25" s="5" t="s">
        <v>134</v>
      </c>
      <c r="B25" s="10"/>
      <c r="C25" s="10"/>
      <c r="D25" s="10">
        <f t="shared" si="4"/>
        <v>0</v>
      </c>
    </row>
    <row r="26" spans="1:4" x14ac:dyDescent="0.25">
      <c r="A26" s="5" t="s">
        <v>133</v>
      </c>
      <c r="B26" s="10"/>
      <c r="C26" s="10"/>
      <c r="D26" s="10">
        <f t="shared" si="4"/>
        <v>0</v>
      </c>
    </row>
    <row r="27" spans="1:4" x14ac:dyDescent="0.25">
      <c r="A27" s="5" t="s">
        <v>127</v>
      </c>
      <c r="B27" s="5"/>
      <c r="C27" s="5"/>
      <c r="D27" s="5">
        <f t="shared" si="4"/>
        <v>0</v>
      </c>
    </row>
    <row r="28" spans="1:4" x14ac:dyDescent="0.25">
      <c r="A28" s="5" t="s">
        <v>128</v>
      </c>
      <c r="B28" s="5"/>
      <c r="C28" s="5"/>
      <c r="D28" s="5">
        <f t="shared" si="4"/>
        <v>0</v>
      </c>
    </row>
    <row r="29" spans="1:4" x14ac:dyDescent="0.25">
      <c r="A29" s="5" t="s">
        <v>129</v>
      </c>
      <c r="B29" s="5"/>
      <c r="C29" s="5"/>
      <c r="D29" s="5">
        <f t="shared" si="4"/>
        <v>0</v>
      </c>
    </row>
    <row r="31" spans="1:4" x14ac:dyDescent="0.25">
      <c r="A31" s="6" t="s">
        <v>138</v>
      </c>
      <c r="B31" s="6" t="s">
        <v>122</v>
      </c>
      <c r="C31" s="6" t="s">
        <v>11</v>
      </c>
      <c r="D31" s="6" t="s">
        <v>45</v>
      </c>
    </row>
    <row r="32" spans="1:4" x14ac:dyDescent="0.25">
      <c r="A32" s="13" t="s">
        <v>139</v>
      </c>
      <c r="B32" s="49"/>
      <c r="C32" s="49">
        <f ca="1">IFERROR('Cuentas y Costos'!J12/D10,0)</f>
        <v>0</v>
      </c>
      <c r="D32" s="49">
        <f ca="1">IF(B32&gt;0,B32,C32)</f>
        <v>0</v>
      </c>
    </row>
    <row r="33" spans="1:4" x14ac:dyDescent="0.25">
      <c r="A33" s="13" t="s">
        <v>141</v>
      </c>
      <c r="B33" s="50"/>
      <c r="C33" s="50">
        <f ca="1">D32*'Cuentas y Costos'!B39</f>
        <v>0</v>
      </c>
      <c r="D33" s="50">
        <f ca="1">IF(B33&gt;0,B33,C33)</f>
        <v>0</v>
      </c>
    </row>
    <row r="34" spans="1:4" x14ac:dyDescent="0.25">
      <c r="A34" s="13" t="s">
        <v>140</v>
      </c>
      <c r="B34" s="49"/>
      <c r="C34" s="49">
        <f ca="1">((100%-'Cuentas y Costos'!B26)*'Cuentas y Costos'!J12)/((100%-'Cuentas y Costos'!B27)*D10)</f>
        <v>0</v>
      </c>
      <c r="D34" s="49">
        <f ca="1">IF(B34&gt;0,B34,C34)</f>
        <v>0</v>
      </c>
    </row>
    <row r="35" spans="1:4" x14ac:dyDescent="0.25">
      <c r="A35" s="13" t="s">
        <v>142</v>
      </c>
      <c r="B35" s="50"/>
      <c r="C35" s="50">
        <f ca="1">D34*'Cuentas y Costos'!B39</f>
        <v>0</v>
      </c>
      <c r="D35" s="50">
        <f ca="1"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6" sqref="D6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 ca="1">IFERROR(IF('Sistemas de costeo'!B2="DIRECTO",'Sistemas de costeo'!D17,'Sistemas de costeo'!H15)/'Cuentas y Costos'!D19,0)</f>
        <v>0.59800569800569803</v>
      </c>
      <c r="D7" s="20">
        <f t="shared" ca="1" si="0"/>
        <v>0.59800569800569803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 ca="1">IFERROR('Cuentas y Costos'!D19/'Cuentas y Costos'!J32,0)</f>
        <v>3.3444497379704621</v>
      </c>
      <c r="D8" s="19">
        <f t="shared" ca="1" si="0"/>
        <v>3.3444497379704621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 ca="1">D7*D8</f>
        <v>2</v>
      </c>
      <c r="D9" s="20">
        <f t="shared" ca="1" si="0"/>
        <v>2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106</v>
      </c>
      <c r="B11" s="20"/>
      <c r="C11" s="20">
        <f ca="1">IFERROR(D7*('Cuentas y Costos'!D19/'Cuentas y Costos'!J30),0)</f>
        <v>0</v>
      </c>
      <c r="D11" s="20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3"/>
  <sheetViews>
    <sheetView workbookViewId="0">
      <selection activeCell="J11" sqref="J11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5.5703125" customWidth="1"/>
    <col min="6" max="6" width="49.5703125" customWidth="1"/>
    <col min="7" max="8" width="14.140625" customWidth="1"/>
    <col min="9" max="9" width="13.7109375" customWidth="1"/>
    <col min="10" max="10" width="22.85546875" customWidth="1"/>
  </cols>
  <sheetData>
    <row r="2" spans="1:10" x14ac:dyDescent="0.25">
      <c r="A2" s="6" t="s">
        <v>61</v>
      </c>
      <c r="B2" s="12">
        <v>0.17</v>
      </c>
      <c r="F2" s="6" t="s">
        <v>74</v>
      </c>
      <c r="G2" s="5"/>
      <c r="H2" s="5"/>
      <c r="I2" s="5"/>
      <c r="J2" s="5"/>
    </row>
    <row r="3" spans="1:10" x14ac:dyDescent="0.25">
      <c r="F3" s="6" t="s">
        <v>75</v>
      </c>
      <c r="G3" s="5">
        <v>0</v>
      </c>
      <c r="H3" s="5">
        <v>1</v>
      </c>
      <c r="I3" s="5">
        <v>2</v>
      </c>
      <c r="J3" s="5">
        <v>3</v>
      </c>
    </row>
    <row r="4" spans="1:10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SUMIF(D5:D21,G3,C5:C21)</f>
        <v>-1105000</v>
      </c>
      <c r="H4" s="10">
        <f>SUMIF(D5:D21,H3,C5:C21)</f>
        <v>470000</v>
      </c>
      <c r="I4" s="10">
        <f>SUMIF(D5:D21,I3,C5:C21)</f>
        <v>671666.66999999993</v>
      </c>
      <c r="J4" s="10">
        <f>SUMIF(D5:D21,J3,C5:C21)</f>
        <v>863333.33000000007</v>
      </c>
    </row>
    <row r="5" spans="1:10" x14ac:dyDescent="0.25">
      <c r="A5" s="5" t="s">
        <v>63</v>
      </c>
      <c r="B5" s="3" t="s">
        <v>73</v>
      </c>
      <c r="C5" s="10">
        <v>500000</v>
      </c>
      <c r="D5" s="5">
        <v>1</v>
      </c>
      <c r="F5" s="6" t="s">
        <v>77</v>
      </c>
      <c r="G5" s="10">
        <f>G4</f>
        <v>-1105000</v>
      </c>
      <c r="H5" s="10">
        <f>G5+H4</f>
        <v>-635000</v>
      </c>
      <c r="I5" s="10">
        <f>H5+I4</f>
        <v>36666.669999999925</v>
      </c>
      <c r="J5" s="10">
        <f>I5+J4</f>
        <v>900000</v>
      </c>
    </row>
    <row r="6" spans="1:10" x14ac:dyDescent="0.25">
      <c r="A6" s="5" t="s">
        <v>168</v>
      </c>
      <c r="B6" s="3" t="s">
        <v>73</v>
      </c>
      <c r="C6" s="10">
        <v>500000</v>
      </c>
      <c r="D6" s="5">
        <v>2</v>
      </c>
      <c r="F6" s="6" t="s">
        <v>78</v>
      </c>
      <c r="G6" s="83">
        <f>ABS(C8-C9-C14)</f>
        <v>665000</v>
      </c>
      <c r="H6" s="83"/>
      <c r="I6" s="83"/>
      <c r="J6" s="83"/>
    </row>
    <row r="7" spans="1:10" x14ac:dyDescent="0.25">
      <c r="A7" s="5" t="s">
        <v>168</v>
      </c>
      <c r="B7" s="3" t="s">
        <v>73</v>
      </c>
      <c r="C7" s="10">
        <v>500000</v>
      </c>
      <c r="D7" s="5">
        <v>3</v>
      </c>
      <c r="F7" s="6" t="s">
        <v>85</v>
      </c>
      <c r="G7" s="87">
        <f>G16</f>
        <v>900000</v>
      </c>
      <c r="H7" s="87"/>
      <c r="I7" s="87"/>
      <c r="J7" s="87"/>
    </row>
    <row r="8" spans="1:10" x14ac:dyDescent="0.25">
      <c r="A8" s="5" t="s">
        <v>64</v>
      </c>
      <c r="B8" s="3" t="s">
        <v>46</v>
      </c>
      <c r="C8" s="10">
        <v>-1000000</v>
      </c>
      <c r="D8" s="5">
        <v>0</v>
      </c>
      <c r="F8" s="6" t="s">
        <v>169</v>
      </c>
      <c r="G8" s="88">
        <v>381651</v>
      </c>
      <c r="H8" s="88"/>
      <c r="I8" s="88"/>
      <c r="J8" s="88"/>
    </row>
    <row r="9" spans="1:10" x14ac:dyDescent="0.25">
      <c r="A9" s="5" t="s">
        <v>65</v>
      </c>
      <c r="B9" s="3" t="s">
        <v>46</v>
      </c>
      <c r="C9" s="10">
        <f>-1*(50000+30000+150000)</f>
        <v>-230000</v>
      </c>
      <c r="D9" s="5">
        <v>1</v>
      </c>
      <c r="F9" s="6" t="s">
        <v>170</v>
      </c>
      <c r="G9" s="89">
        <f>G7-G8</f>
        <v>518349</v>
      </c>
      <c r="H9" s="89"/>
      <c r="I9" s="89"/>
      <c r="J9" s="89"/>
    </row>
    <row r="10" spans="1:10" x14ac:dyDescent="0.25">
      <c r="A10" s="5" t="s">
        <v>66</v>
      </c>
      <c r="B10" s="3" t="s">
        <v>73</v>
      </c>
      <c r="C10" s="10">
        <v>400000</v>
      </c>
      <c r="D10" s="5">
        <v>1</v>
      </c>
      <c r="F10" s="6" t="s">
        <v>79</v>
      </c>
      <c r="G10" s="84">
        <f>IFERROR(IRR(G4:J4),0)</f>
        <v>0.32704078144041815</v>
      </c>
      <c r="H10" s="84"/>
      <c r="I10" s="84"/>
      <c r="J10" s="84"/>
    </row>
    <row r="11" spans="1:10" x14ac:dyDescent="0.25">
      <c r="A11" s="5" t="s">
        <v>167</v>
      </c>
      <c r="B11" s="3" t="s">
        <v>73</v>
      </c>
      <c r="C11" s="10">
        <v>266666.67</v>
      </c>
      <c r="D11" s="5">
        <v>2</v>
      </c>
      <c r="F11" s="6" t="s">
        <v>86</v>
      </c>
      <c r="G11" s="63">
        <f>G16-G17</f>
        <v>68290.598290598253</v>
      </c>
      <c r="H11" s="64"/>
    </row>
    <row r="12" spans="1:10" x14ac:dyDescent="0.25">
      <c r="A12" s="5" t="s">
        <v>167</v>
      </c>
      <c r="B12" s="3" t="s">
        <v>73</v>
      </c>
      <c r="C12" s="10">
        <v>133333.32999999999</v>
      </c>
      <c r="D12" s="5">
        <v>3</v>
      </c>
      <c r="F12" s="6" t="s">
        <v>80</v>
      </c>
      <c r="G12" s="65"/>
      <c r="H12" s="64"/>
    </row>
    <row r="13" spans="1:10" x14ac:dyDescent="0.25">
      <c r="A13" s="5" t="s">
        <v>67</v>
      </c>
      <c r="B13" s="3" t="s">
        <v>46</v>
      </c>
      <c r="C13" s="10"/>
      <c r="D13" s="5"/>
      <c r="F13" s="6" t="s">
        <v>81</v>
      </c>
      <c r="G13" s="61">
        <f>IFERROR(G6/G7,0)</f>
        <v>0.73888888888888893</v>
      </c>
      <c r="H13" s="62"/>
    </row>
    <row r="14" spans="1:10" x14ac:dyDescent="0.25">
      <c r="A14" s="5" t="s">
        <v>68</v>
      </c>
      <c r="B14" s="3" t="s">
        <v>46</v>
      </c>
      <c r="C14" s="10">
        <f>C8*10.5%</f>
        <v>-105000</v>
      </c>
      <c r="D14" s="5">
        <v>0</v>
      </c>
    </row>
    <row r="15" spans="1:10" x14ac:dyDescent="0.25">
      <c r="A15" s="5" t="s">
        <v>69</v>
      </c>
      <c r="B15" s="3" t="s">
        <v>73</v>
      </c>
      <c r="C15" s="85">
        <v>200000</v>
      </c>
      <c r="D15" s="5">
        <v>3</v>
      </c>
      <c r="F15" s="6" t="s">
        <v>82</v>
      </c>
      <c r="G15" s="6" t="s">
        <v>83</v>
      </c>
    </row>
    <row r="16" spans="1:10" ht="15" customHeight="1" x14ac:dyDescent="0.25">
      <c r="A16" s="5" t="s">
        <v>70</v>
      </c>
      <c r="B16" s="3" t="s">
        <v>73</v>
      </c>
      <c r="C16" s="10">
        <f>C14*-1</f>
        <v>105000</v>
      </c>
      <c r="D16" s="5">
        <v>2</v>
      </c>
      <c r="F16" s="14">
        <v>0</v>
      </c>
      <c r="G16" s="10">
        <f>(G4/((1+(1*F16))^G3))+(H4/((1+(1*F16))^H3))+(I4/((1+(1*F16))^I3))+(J4/((1+(1*F16))^J3))</f>
        <v>900000</v>
      </c>
    </row>
    <row r="17" spans="1:17" x14ac:dyDescent="0.25">
      <c r="A17" s="5" t="s">
        <v>71</v>
      </c>
      <c r="B17" s="3" t="s">
        <v>73</v>
      </c>
      <c r="C17" s="10">
        <f>-1*C9</f>
        <v>230000</v>
      </c>
      <c r="D17" s="5">
        <v>3</v>
      </c>
      <c r="F17" s="14">
        <f>B2</f>
        <v>0.17</v>
      </c>
      <c r="G17" s="10">
        <f>(G4/((1+(1*F17))^G3))+(H4/((1+(1*F17))^H3))+(I4/((1+(1*F16))^I3))+(J4/((1+(1*F16))^J3))</f>
        <v>831709.40170940175</v>
      </c>
    </row>
    <row r="18" spans="1:17" x14ac:dyDescent="0.25">
      <c r="A18" s="5" t="s">
        <v>50</v>
      </c>
      <c r="B18" s="11" t="s">
        <v>46</v>
      </c>
      <c r="C18" s="10">
        <f>-1*C5*40%</f>
        <v>-200000</v>
      </c>
      <c r="D18" s="86">
        <v>1</v>
      </c>
    </row>
    <row r="19" spans="1:17" x14ac:dyDescent="0.25">
      <c r="A19" s="5" t="s">
        <v>167</v>
      </c>
      <c r="B19" s="11" t="s">
        <v>46</v>
      </c>
      <c r="C19" s="10">
        <f>-1*C6*40%</f>
        <v>-200000</v>
      </c>
      <c r="D19" s="86">
        <v>2</v>
      </c>
    </row>
    <row r="20" spans="1:17" x14ac:dyDescent="0.25">
      <c r="A20" s="5" t="s">
        <v>167</v>
      </c>
      <c r="B20" s="11" t="s">
        <v>46</v>
      </c>
      <c r="C20" s="10">
        <f>-1*C7*40%</f>
        <v>-200000</v>
      </c>
      <c r="D20" s="86">
        <v>3</v>
      </c>
    </row>
    <row r="21" spans="1:17" x14ac:dyDescent="0.25">
      <c r="A21" s="13" t="s">
        <v>84</v>
      </c>
      <c r="B21" s="8" t="s">
        <v>73</v>
      </c>
      <c r="C21" s="5"/>
      <c r="D21" s="5"/>
    </row>
    <row r="22" spans="1:17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1:17" x14ac:dyDescent="0.25">
      <c r="A23" s="6" t="s">
        <v>150</v>
      </c>
      <c r="B23" s="6" t="s">
        <v>75</v>
      </c>
      <c r="C23" s="6" t="s">
        <v>148</v>
      </c>
      <c r="D23" s="6" t="s">
        <v>149</v>
      </c>
      <c r="E23" s="6" t="s">
        <v>76</v>
      </c>
      <c r="F23" s="6" t="s">
        <v>77</v>
      </c>
      <c r="G23" s="6" t="s">
        <v>153</v>
      </c>
      <c r="H23" s="6" t="s">
        <v>154</v>
      </c>
      <c r="I23" s="6" t="s">
        <v>78</v>
      </c>
      <c r="J23" s="6" t="s">
        <v>155</v>
      </c>
    </row>
    <row r="24" spans="1:17" x14ac:dyDescent="0.25">
      <c r="A24" s="66" t="s">
        <v>151</v>
      </c>
      <c r="B24" s="67">
        <v>0</v>
      </c>
      <c r="C24" s="68"/>
      <c r="D24" s="68"/>
      <c r="E24" s="68">
        <f>(-1*C24)+D24</f>
        <v>0</v>
      </c>
      <c r="F24" s="21">
        <f>E24</f>
        <v>0</v>
      </c>
      <c r="G24" s="69">
        <f>(E24/((1+(1*0%))^B24))+(E25/((1+(1*0%))^B25))+(E26/((1+(1*0%))^B26))+(E27/((1+(1*0%))^B27))+(E28/((1+(1*0%))^B28))</f>
        <v>0</v>
      </c>
      <c r="H24" s="69">
        <f>(E24/((1+(1*12%))^B24))+(E25/((1+(1*12%))^B25))+(E26/((1+(1*12%))^B26))+(E27/((1+(1*12%))^B27))+(E28/((1+(1*12%))^B28))</f>
        <v>0</v>
      </c>
      <c r="I24" s="69">
        <f>C24</f>
        <v>0</v>
      </c>
      <c r="J24" s="70"/>
    </row>
    <row r="25" spans="1:17" x14ac:dyDescent="0.25">
      <c r="A25" s="66"/>
      <c r="B25" s="8">
        <v>1</v>
      </c>
      <c r="C25" s="21"/>
      <c r="D25" s="21"/>
      <c r="E25" s="68">
        <f t="shared" ref="E25:E33" si="0">(-1*C25)+D25</f>
        <v>0</v>
      </c>
      <c r="F25" s="21">
        <f>F24+E25</f>
        <v>0</v>
      </c>
      <c r="G25" s="66"/>
      <c r="H25" s="66"/>
      <c r="I25" s="66"/>
      <c r="J25" s="71"/>
    </row>
    <row r="26" spans="1:17" x14ac:dyDescent="0.25">
      <c r="A26" s="66"/>
      <c r="B26" s="8">
        <v>2</v>
      </c>
      <c r="C26" s="21"/>
      <c r="D26" s="21"/>
      <c r="E26" s="68">
        <f t="shared" si="0"/>
        <v>0</v>
      </c>
      <c r="F26" s="21">
        <f>F25+E26</f>
        <v>0</v>
      </c>
      <c r="G26" s="66"/>
      <c r="H26" s="66"/>
      <c r="I26" s="66"/>
      <c r="J26" s="71"/>
    </row>
    <row r="27" spans="1:17" x14ac:dyDescent="0.25">
      <c r="A27" s="66"/>
      <c r="B27" s="8">
        <v>3</v>
      </c>
      <c r="C27" s="21"/>
      <c r="D27" s="21"/>
      <c r="E27" s="68">
        <f t="shared" si="0"/>
        <v>0</v>
      </c>
      <c r="F27" s="21">
        <f>F26+E27</f>
        <v>0</v>
      </c>
      <c r="G27" s="66"/>
      <c r="H27" s="66"/>
      <c r="I27" s="66"/>
      <c r="J27" s="71"/>
    </row>
    <row r="28" spans="1:17" x14ac:dyDescent="0.25">
      <c r="A28" s="72"/>
      <c r="B28" s="8">
        <v>4</v>
      </c>
      <c r="C28" s="21"/>
      <c r="D28" s="21"/>
      <c r="E28" s="68">
        <f t="shared" si="0"/>
        <v>0</v>
      </c>
      <c r="F28" s="21">
        <f>F27+E28</f>
        <v>0</v>
      </c>
      <c r="G28" s="72"/>
      <c r="H28" s="72"/>
      <c r="I28" s="72"/>
      <c r="J28" s="73"/>
    </row>
    <row r="29" spans="1:17" x14ac:dyDescent="0.25">
      <c r="A29" s="74" t="s">
        <v>152</v>
      </c>
      <c r="B29" s="8">
        <v>0</v>
      </c>
      <c r="C29" s="21"/>
      <c r="D29" s="21"/>
      <c r="E29" s="68">
        <f t="shared" si="0"/>
        <v>0</v>
      </c>
      <c r="F29" s="21">
        <f>E29</f>
        <v>0</v>
      </c>
      <c r="G29" s="69">
        <f>(E29/((1+(1*0%))^B29))+(E30/((1+(1*0%))^B30))+(E31/((1+(1*0%))^B31))+(E32/((1+(1*0%))^B32))+(E33/((1+(1*0%))^B33))</f>
        <v>0</v>
      </c>
      <c r="H29" s="69">
        <f>(E29/((1+(1*12%))^B29))+(E30/((1+(1*12%))^B30))+(E31/((1+(1*12%))^B31))+(E32/((1+(1*12%))^B32))+(E33/((1+(1*12%))^B33))</f>
        <v>0</v>
      </c>
      <c r="I29" s="69">
        <f>C29</f>
        <v>0</v>
      </c>
      <c r="J29" s="70"/>
    </row>
    <row r="30" spans="1:17" x14ac:dyDescent="0.25">
      <c r="A30" s="66"/>
      <c r="B30" s="8">
        <v>1</v>
      </c>
      <c r="C30" s="21"/>
      <c r="D30" s="21"/>
      <c r="E30" s="68">
        <f t="shared" si="0"/>
        <v>0</v>
      </c>
      <c r="F30" s="21">
        <f>F29+E30</f>
        <v>0</v>
      </c>
      <c r="G30" s="66"/>
      <c r="H30" s="66"/>
      <c r="I30" s="66"/>
      <c r="J30" s="71"/>
    </row>
    <row r="31" spans="1:17" x14ac:dyDescent="0.25">
      <c r="A31" s="66"/>
      <c r="B31" s="8">
        <v>2</v>
      </c>
      <c r="C31" s="21"/>
      <c r="D31" s="21"/>
      <c r="E31" s="68">
        <f t="shared" si="0"/>
        <v>0</v>
      </c>
      <c r="F31" s="21">
        <f>F30+E31</f>
        <v>0</v>
      </c>
      <c r="G31" s="66"/>
      <c r="H31" s="66"/>
      <c r="I31" s="66"/>
      <c r="J31" s="71"/>
    </row>
    <row r="32" spans="1:17" x14ac:dyDescent="0.25">
      <c r="A32" s="66"/>
      <c r="B32" s="8">
        <v>3</v>
      </c>
      <c r="C32" s="21"/>
      <c r="D32" s="21"/>
      <c r="E32" s="68">
        <f t="shared" si="0"/>
        <v>0</v>
      </c>
      <c r="F32" s="21">
        <f>F31+E32</f>
        <v>0</v>
      </c>
      <c r="G32" s="66"/>
      <c r="H32" s="66"/>
      <c r="I32" s="66"/>
      <c r="J32" s="71"/>
    </row>
    <row r="33" spans="1:10" x14ac:dyDescent="0.25">
      <c r="A33" s="72"/>
      <c r="B33" s="8">
        <v>4</v>
      </c>
      <c r="C33" s="21"/>
      <c r="D33" s="21"/>
      <c r="E33" s="68">
        <f t="shared" si="0"/>
        <v>0</v>
      </c>
      <c r="F33" s="21">
        <f>F32+E33</f>
        <v>0</v>
      </c>
      <c r="G33" s="72"/>
      <c r="H33" s="72"/>
      <c r="I33" s="72"/>
      <c r="J33" s="73"/>
    </row>
  </sheetData>
  <mergeCells count="18">
    <mergeCell ref="G13:H13"/>
    <mergeCell ref="G11:H11"/>
    <mergeCell ref="G12:H12"/>
    <mergeCell ref="G6:J6"/>
    <mergeCell ref="G7:J7"/>
    <mergeCell ref="G10:J10"/>
    <mergeCell ref="G8:J8"/>
    <mergeCell ref="G9:J9"/>
    <mergeCell ref="I24:I28"/>
    <mergeCell ref="I29:I33"/>
    <mergeCell ref="J24:J28"/>
    <mergeCell ref="J29:J33"/>
    <mergeCell ref="A24:A28"/>
    <mergeCell ref="A29:A33"/>
    <mergeCell ref="G24:G28"/>
    <mergeCell ref="G29:G33"/>
    <mergeCell ref="H24:H28"/>
    <mergeCell ref="H29:H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I5" sqref="G5:I5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87</v>
      </c>
      <c r="B2" s="3" t="s">
        <v>166</v>
      </c>
      <c r="G2" s="6" t="s">
        <v>94</v>
      </c>
      <c r="H2" s="6" t="s">
        <v>95</v>
      </c>
      <c r="I2" s="6" t="s">
        <v>96</v>
      </c>
    </row>
    <row r="3" spans="1:9" x14ac:dyDescent="0.25">
      <c r="G3" s="3">
        <v>1</v>
      </c>
      <c r="H3" s="10">
        <f>IF(B2="LINEAL",D7/A10,IF(B2="CRECIENTE",D7*(G3/B10),D7*(G5/B10)))</f>
        <v>400000</v>
      </c>
      <c r="I3" s="82">
        <f>D5-H3</f>
        <v>600000</v>
      </c>
    </row>
    <row r="4" spans="1:9" x14ac:dyDescent="0.25">
      <c r="A4" s="6" t="s">
        <v>88</v>
      </c>
      <c r="B4" s="6" t="s">
        <v>12</v>
      </c>
      <c r="C4" s="6" t="s">
        <v>11</v>
      </c>
      <c r="D4" s="6" t="s">
        <v>45</v>
      </c>
      <c r="G4" s="3">
        <v>2</v>
      </c>
      <c r="H4" s="10">
        <f>IF(B2="LINEAL",D7/A10,IF(B2="CRECIENTE",D7*(G4/B10),D7*(G4/B10)))</f>
        <v>266666.66666666663</v>
      </c>
      <c r="I4" s="82">
        <f>I3-H4</f>
        <v>333333.33333333337</v>
      </c>
    </row>
    <row r="5" spans="1:9" x14ac:dyDescent="0.25">
      <c r="A5" s="5" t="s">
        <v>89</v>
      </c>
      <c r="B5" s="10">
        <v>1000000</v>
      </c>
      <c r="C5" s="10">
        <f>D7+D6</f>
        <v>1000000</v>
      </c>
      <c r="D5" s="10">
        <f>IF(B5&gt;0,B5,C5)</f>
        <v>1000000</v>
      </c>
      <c r="G5" s="3">
        <v>3</v>
      </c>
      <c r="H5" s="10">
        <f>IF(B2="LINEAL",D7/A10,IF(B2="CRECIENTE",D7*(G5/B10),D7*(G3/B10)))</f>
        <v>133333.33333333331</v>
      </c>
      <c r="I5" s="82">
        <f>I4-H5</f>
        <v>200000.00000000006</v>
      </c>
    </row>
    <row r="6" spans="1:9" x14ac:dyDescent="0.25">
      <c r="A6" s="5" t="s">
        <v>90</v>
      </c>
      <c r="B6" s="10">
        <v>200000</v>
      </c>
      <c r="C6" s="10">
        <f>D5-D7</f>
        <v>200000</v>
      </c>
      <c r="D6" s="10">
        <f t="shared" ref="D6:D7" si="0">IF(B6&gt;0,B6,C6)</f>
        <v>200000</v>
      </c>
    </row>
    <row r="7" spans="1:9" x14ac:dyDescent="0.25">
      <c r="A7" s="5" t="s">
        <v>91</v>
      </c>
      <c r="B7" s="10"/>
      <c r="C7" s="10">
        <f>D5-D6</f>
        <v>800000</v>
      </c>
      <c r="D7" s="10">
        <f t="shared" si="0"/>
        <v>800000</v>
      </c>
    </row>
    <row r="9" spans="1:9" x14ac:dyDescent="0.25">
      <c r="A9" s="6" t="s">
        <v>92</v>
      </c>
      <c r="B9" s="6" t="s">
        <v>93</v>
      </c>
    </row>
    <row r="10" spans="1:9" x14ac:dyDescent="0.25">
      <c r="A10" s="3">
        <v>3</v>
      </c>
      <c r="B10" s="3">
        <f>1+2+3</f>
        <v>6</v>
      </c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2021-07-22T00:36:43Z</dcterms:modified>
</cp:coreProperties>
</file>