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https://eduumb-my.sharepoint.com/personal/meselu_tegenie_mellaku_nmbu_no/Documents/Documents/GitHub/INDIND/"/>
    </mc:Choice>
  </mc:AlternateContent>
  <xr:revisionPtr revIDLastSave="5" documentId="13_ncr:1_{C84E60B6-A861-4370-8B3B-5E22634940BA}" xr6:coauthVersionLast="47" xr6:coauthVersionMax="47" xr10:uidLastSave="{365473A6-CE76-4234-A097-925E38A2F494}"/>
  <bookViews>
    <workbookView xWindow="-420" yWindow="470" windowWidth="21600" windowHeight="11250" tabRatio="890" firstSheet="1" activeTab="7" xr2:uid="{00000000-000D-0000-FFFF-FFFF00000000}"/>
  </bookViews>
  <sheets>
    <sheet name="Energybalance history" sheetId="147" r:id="rId1"/>
    <sheet name="Enrgy growth" sheetId="148" r:id="rId2"/>
    <sheet name="TechnologydataTech" sheetId="149" r:id="rId3"/>
    <sheet name="EBF TJ" sheetId="144" r:id="rId4"/>
    <sheet name="EBF" sheetId="133" r:id="rId5"/>
    <sheet name="RES&amp;OBJ" sheetId="135" r:id="rId6"/>
    <sheet name="PRI_Sector_Fuels" sheetId="137" r:id="rId7"/>
    <sheet name="DemTechs_INDF" sheetId="143" r:id="rId8"/>
    <sheet name="Demands" sheetId="145" r:id="rId9"/>
    <sheet name="Emi" sheetId="146" r:id="rId10"/>
  </sheets>
  <externalReferences>
    <externalReference r:id="rId11"/>
    <externalReference r:id="rId12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" i="149" l="1"/>
  <c r="AA6" i="149"/>
  <c r="AA4" i="149"/>
  <c r="Z13" i="149"/>
  <c r="Y13" i="149"/>
  <c r="AA13" i="149" s="1"/>
  <c r="A33" i="149"/>
  <c r="C38" i="149"/>
  <c r="C37" i="149"/>
  <c r="C36" i="149"/>
  <c r="C35" i="149"/>
  <c r="C34" i="149"/>
  <c r="C33" i="149"/>
  <c r="D19" i="149"/>
  <c r="E19" i="149"/>
  <c r="F19" i="149"/>
  <c r="I19" i="149"/>
  <c r="G19" i="149" s="1"/>
  <c r="P19" i="149"/>
  <c r="C19" i="149"/>
  <c r="B17" i="149"/>
  <c r="C17" i="149"/>
  <c r="A17" i="149"/>
  <c r="S3" i="149"/>
  <c r="V3" i="149" s="1"/>
  <c r="T3" i="149"/>
  <c r="W3" i="149" s="1"/>
  <c r="R3" i="149"/>
  <c r="U3" i="149" s="1"/>
  <c r="J2" i="149"/>
  <c r="H2" i="149"/>
  <c r="G2" i="149"/>
  <c r="J20" i="148"/>
  <c r="K20" i="148" s="1"/>
  <c r="J19" i="148"/>
  <c r="L19" i="148" s="1"/>
  <c r="N12" i="148"/>
  <c r="M12" i="148"/>
  <c r="L12" i="148"/>
  <c r="K12" i="148"/>
  <c r="J12" i="148"/>
  <c r="N11" i="148"/>
  <c r="M11" i="148"/>
  <c r="L11" i="148"/>
  <c r="K11" i="148"/>
  <c r="J11" i="148"/>
  <c r="N10" i="148"/>
  <c r="M10" i="148"/>
  <c r="L10" i="148"/>
  <c r="K10" i="148"/>
  <c r="J10" i="148"/>
  <c r="N9" i="148"/>
  <c r="M9" i="148"/>
  <c r="L9" i="148"/>
  <c r="K9" i="148"/>
  <c r="J9" i="148"/>
  <c r="J13" i="148" s="1"/>
  <c r="N8" i="148"/>
  <c r="M8" i="148"/>
  <c r="L8" i="148"/>
  <c r="K8" i="148"/>
  <c r="J8" i="148"/>
  <c r="A139" i="147"/>
  <c r="A138" i="147"/>
  <c r="A137" i="147"/>
  <c r="R114" i="147"/>
  <c r="P114" i="147"/>
  <c r="O114" i="147"/>
  <c r="N114" i="147"/>
  <c r="M114" i="147"/>
  <c r="L114" i="147"/>
  <c r="K114" i="147"/>
  <c r="J114" i="147"/>
  <c r="I114" i="147"/>
  <c r="H114" i="147"/>
  <c r="G114" i="147"/>
  <c r="F114" i="147"/>
  <c r="E114" i="147"/>
  <c r="D114" i="147"/>
  <c r="C114" i="147"/>
  <c r="B114" i="147"/>
  <c r="A114" i="147"/>
  <c r="R113" i="147"/>
  <c r="P113" i="147"/>
  <c r="O113" i="147"/>
  <c r="N113" i="147"/>
  <c r="M113" i="147"/>
  <c r="L113" i="147"/>
  <c r="K113" i="147"/>
  <c r="J113" i="147"/>
  <c r="I113" i="147"/>
  <c r="H113" i="147"/>
  <c r="A113" i="147"/>
  <c r="R112" i="147"/>
  <c r="P112" i="147"/>
  <c r="O112" i="147"/>
  <c r="N112" i="147"/>
  <c r="M112" i="147"/>
  <c r="L112" i="147"/>
  <c r="K112" i="147"/>
  <c r="J112" i="147"/>
  <c r="I112" i="147"/>
  <c r="H112" i="147"/>
  <c r="E112" i="147"/>
  <c r="A112" i="147"/>
  <c r="R111" i="147"/>
  <c r="P111" i="147"/>
  <c r="O111" i="147"/>
  <c r="N111" i="147"/>
  <c r="M111" i="147"/>
  <c r="L111" i="147"/>
  <c r="K111" i="147"/>
  <c r="J111" i="147"/>
  <c r="I111" i="147"/>
  <c r="H111" i="147"/>
  <c r="A111" i="147"/>
  <c r="R110" i="147"/>
  <c r="O110" i="147"/>
  <c r="L110" i="147"/>
  <c r="I110" i="147"/>
  <c r="H110" i="147"/>
  <c r="B110" i="147"/>
  <c r="A110" i="147"/>
  <c r="R108" i="147"/>
  <c r="P108" i="147"/>
  <c r="N108" i="147"/>
  <c r="O108" i="147" s="1"/>
  <c r="O109" i="147" s="1"/>
  <c r="M108" i="147"/>
  <c r="L108" i="147"/>
  <c r="K108" i="147"/>
  <c r="J108" i="147"/>
  <c r="I108" i="147"/>
  <c r="G108" i="147"/>
  <c r="C108" i="147"/>
  <c r="B108" i="147"/>
  <c r="A108" i="147"/>
  <c r="R107" i="147"/>
  <c r="P107" i="147"/>
  <c r="N107" i="147"/>
  <c r="H107" i="147"/>
  <c r="G107" i="147"/>
  <c r="F107" i="147"/>
  <c r="E107" i="147"/>
  <c r="D107" i="147"/>
  <c r="C107" i="147"/>
  <c r="B107" i="147"/>
  <c r="A107" i="147"/>
  <c r="A140" i="147" s="1"/>
  <c r="C100" i="147"/>
  <c r="B88" i="147"/>
  <c r="F71" i="147"/>
  <c r="F113" i="147" s="1"/>
  <c r="E71" i="147"/>
  <c r="E90" i="147" s="1"/>
  <c r="D71" i="147"/>
  <c r="C71" i="147"/>
  <c r="B71" i="147"/>
  <c r="B113" i="147" s="1"/>
  <c r="E70" i="147"/>
  <c r="F69" i="147"/>
  <c r="F111" i="147" s="1"/>
  <c r="D69" i="147"/>
  <c r="D79" i="147" s="1"/>
  <c r="B69" i="147"/>
  <c r="B79" i="147" s="1"/>
  <c r="M68" i="147"/>
  <c r="M110" i="147" s="1"/>
  <c r="J68" i="147"/>
  <c r="J110" i="147" s="1"/>
  <c r="B68" i="147"/>
  <c r="F67" i="147"/>
  <c r="G67" i="147" s="1"/>
  <c r="D67" i="147"/>
  <c r="C67" i="147"/>
  <c r="B67" i="147"/>
  <c r="F66" i="147"/>
  <c r="G66" i="147" s="1"/>
  <c r="E66" i="147"/>
  <c r="D66" i="147"/>
  <c r="C66" i="147"/>
  <c r="B66" i="147"/>
  <c r="Q65" i="147"/>
  <c r="P65" i="147"/>
  <c r="O65" i="147"/>
  <c r="N65" i="147"/>
  <c r="M65" i="147"/>
  <c r="L65" i="147"/>
  <c r="K65" i="147"/>
  <c r="I65" i="147"/>
  <c r="J65" i="147" s="1"/>
  <c r="H65" i="147"/>
  <c r="F65" i="147"/>
  <c r="E65" i="147"/>
  <c r="D65" i="147"/>
  <c r="C65" i="147"/>
  <c r="B65" i="147"/>
  <c r="P64" i="147"/>
  <c r="O64" i="147"/>
  <c r="O107" i="147" s="1"/>
  <c r="N64" i="147"/>
  <c r="M64" i="147"/>
  <c r="M107" i="147" s="1"/>
  <c r="L64" i="147"/>
  <c r="L107" i="147" s="1"/>
  <c r="K64" i="147"/>
  <c r="K107" i="147" s="1"/>
  <c r="J64" i="147"/>
  <c r="J107" i="147" s="1"/>
  <c r="I64" i="147"/>
  <c r="I107" i="147" s="1"/>
  <c r="F61" i="147"/>
  <c r="F76" i="147" s="1"/>
  <c r="D61" i="147"/>
  <c r="D76" i="147" s="1"/>
  <c r="C61" i="147"/>
  <c r="C76" i="147" s="1"/>
  <c r="B61" i="147"/>
  <c r="B76" i="147" s="1"/>
  <c r="F60" i="147"/>
  <c r="F75" i="147" s="1"/>
  <c r="C60" i="147"/>
  <c r="C75" i="147" s="1"/>
  <c r="B60" i="147"/>
  <c r="B75" i="147" s="1"/>
  <c r="F58" i="147"/>
  <c r="D58" i="147"/>
  <c r="C58" i="147"/>
  <c r="B58" i="147"/>
  <c r="B70" i="147" s="1"/>
  <c r="F57" i="147"/>
  <c r="F70" i="147" s="1"/>
  <c r="D57" i="147"/>
  <c r="D70" i="147" s="1"/>
  <c r="C57" i="147"/>
  <c r="C70" i="147" s="1"/>
  <c r="B57" i="147"/>
  <c r="E56" i="147"/>
  <c r="E40" i="147" s="1"/>
  <c r="C56" i="147"/>
  <c r="C69" i="147" s="1"/>
  <c r="F55" i="147"/>
  <c r="F68" i="147" s="1"/>
  <c r="E55" i="147"/>
  <c r="E60" i="147" s="1"/>
  <c r="E75" i="147" s="1"/>
  <c r="D55" i="147"/>
  <c r="D60" i="147" s="1"/>
  <c r="D75" i="147" s="1"/>
  <c r="C55" i="147"/>
  <c r="C68" i="147" s="1"/>
  <c r="B55" i="147"/>
  <c r="F53" i="147"/>
  <c r="E53" i="147"/>
  <c r="D53" i="147"/>
  <c r="C53" i="147"/>
  <c r="B53" i="147"/>
  <c r="E51" i="147"/>
  <c r="E50" i="147"/>
  <c r="E25" i="147" s="1"/>
  <c r="E28" i="147" s="1"/>
  <c r="E29" i="147" s="1"/>
  <c r="R48" i="147"/>
  <c r="P48" i="147"/>
  <c r="O48" i="147"/>
  <c r="N48" i="147"/>
  <c r="M48" i="147"/>
  <c r="L48" i="147"/>
  <c r="K48" i="147"/>
  <c r="J48" i="147"/>
  <c r="I48" i="147"/>
  <c r="H48" i="147"/>
  <c r="G48" i="147"/>
  <c r="F48" i="147"/>
  <c r="E48" i="147"/>
  <c r="D48" i="147"/>
  <c r="C48" i="147"/>
  <c r="B48" i="147"/>
  <c r="O47" i="147"/>
  <c r="F43" i="147"/>
  <c r="E43" i="147"/>
  <c r="G43" i="147" s="1"/>
  <c r="E42" i="147"/>
  <c r="E41" i="147"/>
  <c r="F38" i="147"/>
  <c r="E38" i="147"/>
  <c r="O31" i="147"/>
  <c r="O28" i="147"/>
  <c r="O29" i="147" s="1"/>
  <c r="E27" i="147"/>
  <c r="O32" i="147" s="1"/>
  <c r="P26" i="147"/>
  <c r="P68" i="147" s="1"/>
  <c r="M26" i="147"/>
  <c r="J26" i="147"/>
  <c r="F26" i="147"/>
  <c r="E26" i="147"/>
  <c r="D26" i="147"/>
  <c r="C26" i="147"/>
  <c r="B26" i="147"/>
  <c r="R25" i="147"/>
  <c r="O25" i="147"/>
  <c r="P25" i="147" s="1"/>
  <c r="N25" i="147"/>
  <c r="M25" i="147"/>
  <c r="L25" i="147"/>
  <c r="K25" i="147"/>
  <c r="I25" i="147"/>
  <c r="J25" i="147" s="1"/>
  <c r="G25" i="147"/>
  <c r="F25" i="147"/>
  <c r="D25" i="147"/>
  <c r="C25" i="147"/>
  <c r="B25" i="147"/>
  <c r="B90" i="147" l="1"/>
  <c r="B112" i="147"/>
  <c r="B92" i="147"/>
  <c r="B80" i="147"/>
  <c r="B93" i="147"/>
  <c r="B86" i="147"/>
  <c r="B84" i="147"/>
  <c r="B78" i="147"/>
  <c r="B97" i="147"/>
  <c r="D90" i="147"/>
  <c r="D103" i="147"/>
  <c r="D112" i="147"/>
  <c r="D93" i="147"/>
  <c r="D92" i="147"/>
  <c r="D95" i="147" s="1"/>
  <c r="D80" i="147"/>
  <c r="F103" i="147"/>
  <c r="F112" i="147"/>
  <c r="F93" i="147"/>
  <c r="F90" i="147"/>
  <c r="G70" i="147"/>
  <c r="G112" i="147" s="1"/>
  <c r="F92" i="147"/>
  <c r="F80" i="147"/>
  <c r="C94" i="147"/>
  <c r="B82" i="147"/>
  <c r="C82" i="147"/>
  <c r="C110" i="147"/>
  <c r="C78" i="147"/>
  <c r="C88" i="147"/>
  <c r="C101" i="147"/>
  <c r="E97" i="147"/>
  <c r="E86" i="147"/>
  <c r="D86" i="147"/>
  <c r="D97" i="147"/>
  <c r="B98" i="147"/>
  <c r="B85" i="147"/>
  <c r="C85" i="147"/>
  <c r="C98" i="147"/>
  <c r="C90" i="147"/>
  <c r="C103" i="147"/>
  <c r="C112" i="147"/>
  <c r="C80" i="147"/>
  <c r="C93" i="147"/>
  <c r="E103" i="147"/>
  <c r="P110" i="147"/>
  <c r="D94" i="147"/>
  <c r="C86" i="147"/>
  <c r="C84" i="147"/>
  <c r="C97" i="147"/>
  <c r="F97" i="147"/>
  <c r="F86" i="147"/>
  <c r="F84" i="147"/>
  <c r="F82" i="147"/>
  <c r="G68" i="147"/>
  <c r="G110" i="147" s="1"/>
  <c r="F110" i="147"/>
  <c r="F109" i="147" s="1"/>
  <c r="F78" i="147"/>
  <c r="F88" i="147"/>
  <c r="D98" i="147"/>
  <c r="D85" i="147"/>
  <c r="C79" i="147"/>
  <c r="C111" i="147"/>
  <c r="C102" i="147"/>
  <c r="C89" i="147"/>
  <c r="C72" i="147"/>
  <c r="C92" i="147"/>
  <c r="F98" i="147"/>
  <c r="F85" i="147"/>
  <c r="F79" i="147"/>
  <c r="F100" i="147"/>
  <c r="E61" i="147"/>
  <c r="E76" i="147" s="1"/>
  <c r="E80" i="147"/>
  <c r="D108" i="147"/>
  <c r="E108" i="147"/>
  <c r="O30" i="147"/>
  <c r="G71" i="147"/>
  <c r="G113" i="147" s="1"/>
  <c r="B81" i="147"/>
  <c r="F108" i="147"/>
  <c r="E67" i="147"/>
  <c r="B72" i="147"/>
  <c r="C81" i="147"/>
  <c r="B89" i="147"/>
  <c r="E100" i="147"/>
  <c r="G65" i="147"/>
  <c r="D100" i="147"/>
  <c r="F72" i="147"/>
  <c r="G72" i="147" s="1"/>
  <c r="F89" i="147"/>
  <c r="B94" i="147"/>
  <c r="F102" i="147"/>
  <c r="D111" i="147"/>
  <c r="F81" i="147"/>
  <c r="C113" i="147"/>
  <c r="D113" i="147"/>
  <c r="E69" i="147"/>
  <c r="D81" i="147"/>
  <c r="D72" i="147"/>
  <c r="E81" i="147"/>
  <c r="D89" i="147"/>
  <c r="D102" i="147"/>
  <c r="B111" i="147"/>
  <c r="B109" i="147" s="1"/>
  <c r="G69" i="147"/>
  <c r="G111" i="147" s="1"/>
  <c r="E39" i="147"/>
  <c r="D68" i="147"/>
  <c r="E68" i="147"/>
  <c r="E94" i="147"/>
  <c r="E113" i="147"/>
  <c r="F94" i="147"/>
  <c r="E78" i="147" l="1"/>
  <c r="E110" i="147"/>
  <c r="E109" i="147" s="1"/>
  <c r="N68" i="147"/>
  <c r="N110" i="147" s="1"/>
  <c r="K68" i="147"/>
  <c r="K110" i="147" s="1"/>
  <c r="E101" i="147"/>
  <c r="E88" i="147"/>
  <c r="E98" i="147"/>
  <c r="J98" i="147" s="1"/>
  <c r="E85" i="147"/>
  <c r="D110" i="147"/>
  <c r="D109" i="147" s="1"/>
  <c r="D78" i="147"/>
  <c r="D101" i="147"/>
  <c r="D88" i="147"/>
  <c r="C109" i="147"/>
  <c r="M82" i="147"/>
  <c r="F95" i="147"/>
  <c r="E79" i="147"/>
  <c r="E111" i="147"/>
  <c r="E102" i="147"/>
  <c r="E89" i="147"/>
  <c r="E93" i="147"/>
  <c r="E72" i="147"/>
  <c r="E92" i="147"/>
  <c r="E95" i="147" s="1"/>
  <c r="D82" i="147"/>
  <c r="C95" i="147"/>
  <c r="D84" i="147"/>
  <c r="B95" i="147"/>
  <c r="R39" i="147"/>
  <c r="E45" i="147"/>
  <c r="E46" i="147"/>
  <c r="E82" i="147"/>
  <c r="F101" i="147"/>
  <c r="E84" i="147"/>
  <c r="J82" i="147" l="1"/>
  <c r="P82" i="147"/>
  <c r="D31" i="137" l="1"/>
  <c r="D29" i="137"/>
  <c r="D30" i="137"/>
  <c r="D28" i="137"/>
  <c r="D24" i="143"/>
  <c r="D25" i="143"/>
  <c r="D26" i="143"/>
  <c r="D27" i="143"/>
  <c r="D23" i="143"/>
  <c r="D22" i="143"/>
  <c r="D19" i="143"/>
  <c r="D20" i="143"/>
  <c r="D21" i="143"/>
  <c r="D18" i="143"/>
  <c r="C26" i="143"/>
  <c r="C25" i="143"/>
  <c r="C22" i="143"/>
  <c r="C21" i="143"/>
  <c r="B21" i="143"/>
  <c r="B31" i="137"/>
  <c r="B30" i="137"/>
  <c r="B28" i="137"/>
  <c r="N29" i="137"/>
  <c r="B33" i="137" s="1"/>
  <c r="B29" i="137"/>
  <c r="N28" i="137"/>
  <c r="B32" i="137" s="1"/>
  <c r="O28" i="137"/>
  <c r="O29" i="137"/>
  <c r="G5" i="137"/>
  <c r="G6" i="137"/>
  <c r="G7" i="137"/>
  <c r="G8" i="137"/>
  <c r="C27" i="143" l="1"/>
  <c r="B25" i="143"/>
  <c r="B24" i="143"/>
  <c r="C24" i="143"/>
  <c r="C23" i="143"/>
  <c r="B23" i="143"/>
  <c r="B22" i="143"/>
  <c r="D33" i="137"/>
  <c r="D32" i="137"/>
  <c r="K11" i="145"/>
  <c r="E9" i="145" l="1"/>
  <c r="E10" i="145"/>
  <c r="D16" i="133"/>
  <c r="E16" i="133"/>
  <c r="F16" i="133"/>
  <c r="G16" i="133"/>
  <c r="H16" i="133"/>
  <c r="I16" i="133"/>
  <c r="J16" i="133"/>
  <c r="D17" i="133"/>
  <c r="E17" i="133"/>
  <c r="F17" i="133"/>
  <c r="G17" i="133"/>
  <c r="H17" i="133"/>
  <c r="I17" i="133"/>
  <c r="J17" i="133"/>
  <c r="D18" i="133"/>
  <c r="E18" i="133"/>
  <c r="F18" i="133"/>
  <c r="G18" i="133"/>
  <c r="H18" i="133"/>
  <c r="I18" i="133"/>
  <c r="J18" i="133"/>
  <c r="D19" i="133"/>
  <c r="E19" i="133"/>
  <c r="F19" i="133"/>
  <c r="G19" i="133"/>
  <c r="H19" i="133"/>
  <c r="I19" i="133"/>
  <c r="J19" i="133"/>
  <c r="D20" i="133"/>
  <c r="E20" i="133"/>
  <c r="F20" i="133"/>
  <c r="G20" i="133"/>
  <c r="H20" i="133"/>
  <c r="I20" i="133"/>
  <c r="J20" i="133"/>
  <c r="D21" i="133"/>
  <c r="E21" i="133"/>
  <c r="F21" i="133"/>
  <c r="G21" i="133"/>
  <c r="H21" i="133"/>
  <c r="I21" i="133"/>
  <c r="J21" i="133"/>
  <c r="D22" i="133"/>
  <c r="E22" i="133"/>
  <c r="F22" i="133"/>
  <c r="G22" i="133"/>
  <c r="H22" i="133"/>
  <c r="I22" i="133"/>
  <c r="J22" i="133"/>
  <c r="D23" i="133"/>
  <c r="E23" i="133"/>
  <c r="F23" i="133"/>
  <c r="G23" i="133"/>
  <c r="H23" i="133"/>
  <c r="I23" i="133"/>
  <c r="J23" i="133"/>
  <c r="D24" i="133"/>
  <c r="E24" i="133"/>
  <c r="F24" i="133"/>
  <c r="G24" i="133"/>
  <c r="H24" i="133"/>
  <c r="I24" i="133"/>
  <c r="J24" i="133"/>
  <c r="E15" i="133"/>
  <c r="F15" i="133"/>
  <c r="G15" i="133"/>
  <c r="H15" i="133"/>
  <c r="I15" i="133"/>
  <c r="J15" i="133"/>
  <c r="D15" i="133"/>
  <c r="F11" i="133"/>
  <c r="E11" i="133"/>
  <c r="D12" i="133"/>
  <c r="J10" i="133"/>
  <c r="K12" i="133"/>
  <c r="E12" i="133"/>
  <c r="F12" i="133"/>
  <c r="G12" i="133"/>
  <c r="H12" i="133"/>
  <c r="I12" i="133"/>
  <c r="J12" i="133"/>
  <c r="D6" i="133"/>
  <c r="E6" i="133"/>
  <c r="F6" i="133"/>
  <c r="G6" i="133"/>
  <c r="H6" i="133"/>
  <c r="I6" i="133"/>
  <c r="J6" i="133"/>
  <c r="D7" i="133"/>
  <c r="E7" i="133"/>
  <c r="F7" i="133"/>
  <c r="G7" i="133"/>
  <c r="H7" i="133"/>
  <c r="I7" i="133"/>
  <c r="J7" i="133"/>
  <c r="H5" i="133"/>
  <c r="I5" i="133"/>
  <c r="J5" i="133"/>
  <c r="G5" i="133"/>
  <c r="F5" i="133"/>
  <c r="E5" i="133"/>
  <c r="D5" i="133"/>
  <c r="I10" i="145" l="1"/>
  <c r="J10" i="145"/>
  <c r="K10" i="145"/>
  <c r="H10" i="145"/>
  <c r="F10" i="145"/>
  <c r="G10" i="145"/>
  <c r="G9" i="145"/>
  <c r="K9" i="145"/>
  <c r="K13" i="145" s="1"/>
  <c r="H9" i="145"/>
  <c r="H13" i="145" s="1"/>
  <c r="J9" i="145"/>
  <c r="J13" i="145" s="1"/>
  <c r="F9" i="145"/>
  <c r="F13" i="145" s="1"/>
  <c r="I9" i="145"/>
  <c r="I13" i="145" s="1"/>
  <c r="C9" i="145"/>
  <c r="G13" i="145" l="1"/>
  <c r="G12" i="145"/>
  <c r="F12" i="145"/>
  <c r="K12" i="145"/>
  <c r="J12" i="145"/>
  <c r="H12" i="145"/>
  <c r="I12" i="145"/>
  <c r="E6" i="146"/>
  <c r="F6" i="146"/>
  <c r="D6" i="146"/>
  <c r="C6" i="146"/>
  <c r="E20" i="145"/>
  <c r="E19" i="145"/>
  <c r="F37" i="143"/>
  <c r="E18" i="143" l="1"/>
  <c r="E21" i="143"/>
  <c r="E20" i="143"/>
  <c r="E19" i="143"/>
  <c r="I28" i="137" l="1"/>
  <c r="I27" i="137"/>
  <c r="E13" i="145" l="1"/>
  <c r="E12" i="145"/>
  <c r="B20" i="143"/>
  <c r="O27" i="137"/>
  <c r="F13" i="144"/>
  <c r="G13" i="144"/>
  <c r="H13" i="144"/>
  <c r="I13" i="144"/>
  <c r="K13" i="144" s="1"/>
  <c r="K11" i="144"/>
  <c r="K12" i="144"/>
  <c r="K10" i="144"/>
  <c r="H11" i="144"/>
  <c r="G11" i="144"/>
  <c r="J8" i="133"/>
  <c r="J11" i="144"/>
  <c r="R9" i="143"/>
  <c r="F2" i="143"/>
  <c r="E2" i="143"/>
  <c r="R19" i="143" s="1"/>
  <c r="C2" i="143"/>
  <c r="Q9" i="143" s="1"/>
  <c r="B2" i="143"/>
  <c r="F2" i="145"/>
  <c r="E2" i="145"/>
  <c r="D10" i="145" s="1"/>
  <c r="G4" i="137"/>
  <c r="G3" i="137"/>
  <c r="C18" i="143"/>
  <c r="C20" i="143"/>
  <c r="D46" i="133"/>
  <c r="K46" i="133" s="1"/>
  <c r="E40" i="133"/>
  <c r="K48" i="144"/>
  <c r="E47" i="144"/>
  <c r="K47" i="144" s="1"/>
  <c r="D46" i="144"/>
  <c r="K46" i="144" s="1"/>
  <c r="E40" i="144"/>
  <c r="D40" i="144"/>
  <c r="D39" i="144"/>
  <c r="D38" i="144"/>
  <c r="J25" i="144"/>
  <c r="I25" i="144"/>
  <c r="E25" i="144"/>
  <c r="K24" i="144"/>
  <c r="K23" i="144"/>
  <c r="K22" i="144"/>
  <c r="K21" i="144"/>
  <c r="K20" i="144"/>
  <c r="K19" i="144"/>
  <c r="K18" i="144"/>
  <c r="K16" i="144"/>
  <c r="K15" i="144"/>
  <c r="J13" i="144"/>
  <c r="I12" i="144"/>
  <c r="E12" i="144"/>
  <c r="E13" i="144" s="1"/>
  <c r="D13" i="144"/>
  <c r="I8" i="144"/>
  <c r="H8" i="144"/>
  <c r="G8" i="144"/>
  <c r="F8" i="144"/>
  <c r="F11" i="144" s="1"/>
  <c r="E8" i="144"/>
  <c r="D8" i="144"/>
  <c r="K6" i="144"/>
  <c r="J5" i="144"/>
  <c r="J8" i="144" s="1"/>
  <c r="D27" i="137"/>
  <c r="L27" i="137"/>
  <c r="K48" i="133"/>
  <c r="I26" i="137"/>
  <c r="I25" i="137"/>
  <c r="D26" i="137"/>
  <c r="D25" i="137"/>
  <c r="B19" i="143"/>
  <c r="B18" i="143"/>
  <c r="C19" i="143"/>
  <c r="D2" i="143"/>
  <c r="N27" i="137" l="1"/>
  <c r="B27" i="137" s="1"/>
  <c r="D9" i="145"/>
  <c r="P9" i="143"/>
  <c r="B8" i="146" s="1"/>
  <c r="D39" i="133"/>
  <c r="D40" i="133"/>
  <c r="D38" i="133"/>
  <c r="E47" i="133"/>
  <c r="K47" i="133" s="1"/>
  <c r="D25" i="144"/>
  <c r="K17" i="144"/>
  <c r="K25" i="144" s="1"/>
  <c r="K5" i="144"/>
  <c r="K8" i="144" s="1"/>
  <c r="R18" i="143"/>
  <c r="R29" i="143"/>
  <c r="P28" i="145" l="1"/>
  <c r="P44" i="145"/>
  <c r="P11" i="145"/>
  <c r="P14" i="145"/>
  <c r="P30" i="145"/>
  <c r="P13" i="145"/>
  <c r="P31" i="145"/>
  <c r="P47" i="145"/>
  <c r="P16" i="145"/>
  <c r="P48" i="145"/>
  <c r="P37" i="145"/>
  <c r="P22" i="145"/>
  <c r="P39" i="145"/>
  <c r="P24" i="145"/>
  <c r="P41" i="145"/>
  <c r="P26" i="145"/>
  <c r="P27" i="145"/>
  <c r="P29" i="145"/>
  <c r="P45" i="145"/>
  <c r="P12" i="145"/>
  <c r="P46" i="145"/>
  <c r="P15" i="145"/>
  <c r="P10" i="145"/>
  <c r="P32" i="145"/>
  <c r="P53" i="145"/>
  <c r="P54" i="145"/>
  <c r="P55" i="145"/>
  <c r="P40" i="145"/>
  <c r="P57" i="145"/>
  <c r="P58" i="145"/>
  <c r="P59" i="145"/>
  <c r="P17" i="145"/>
  <c r="P33" i="145"/>
  <c r="P49" i="145"/>
  <c r="P18" i="145"/>
  <c r="P34" i="145"/>
  <c r="P50" i="145"/>
  <c r="P19" i="145"/>
  <c r="P35" i="145"/>
  <c r="P51" i="145"/>
  <c r="P20" i="145"/>
  <c r="P36" i="145"/>
  <c r="P52" i="145"/>
  <c r="P21" i="145"/>
  <c r="P38" i="145"/>
  <c r="P23" i="145"/>
  <c r="P56" i="145"/>
  <c r="P25" i="145"/>
  <c r="P42" i="145"/>
  <c r="P43" i="145"/>
  <c r="I8" i="133"/>
  <c r="H8" i="133"/>
  <c r="G8" i="133"/>
  <c r="L26" i="137"/>
  <c r="L25" i="137"/>
  <c r="G2" i="137"/>
  <c r="D2" i="137"/>
  <c r="O25" i="137" s="1"/>
  <c r="C2" i="137"/>
  <c r="I24" i="137" l="1"/>
  <c r="G24" i="137"/>
  <c r="N25" i="137"/>
  <c r="B25" i="137" s="1"/>
  <c r="N26" i="137"/>
  <c r="B26" i="137" s="1"/>
  <c r="O26" i="137"/>
  <c r="E8" i="133" l="1"/>
  <c r="F8" i="133"/>
  <c r="K20" i="133"/>
  <c r="K21" i="133"/>
  <c r="K22" i="133"/>
  <c r="K23" i="133"/>
  <c r="K24" i="133"/>
  <c r="K18" i="133"/>
  <c r="K19" i="133"/>
  <c r="K16" i="133"/>
  <c r="K15" i="133"/>
  <c r="I25" i="133"/>
  <c r="J13" i="133" l="1"/>
  <c r="K6" i="133"/>
  <c r="K5" i="133"/>
  <c r="J25" i="133"/>
  <c r="D8" i="133"/>
  <c r="K8" i="133" l="1"/>
  <c r="D13" i="133"/>
  <c r="D25" i="133"/>
  <c r="E25" i="133"/>
  <c r="E13" i="133"/>
  <c r="K13" i="133"/>
  <c r="K17" i="133" l="1"/>
  <c r="K25" i="13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6B2A075A-EF9A-4D60-B16C-911417EFF6E8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DC68F520-FC17-44E7-94B5-176A4E5EB403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2FACE5EC-0313-48DC-8195-4F64CBA31B41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8403344B-D8B8-4AB0-84F8-13898FD9B2E9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4F53D4B0-E12F-4201-AC6C-884D7A9E5655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22" authorId="2" shapeId="0" xr:uid="{CC8E5D4E-1B3A-43C8-A112-A6697F95B4CC}">
      <text>
        <r>
          <rPr>
            <sz val="8"/>
            <color indexed="81"/>
            <rFont val="Tahoma"/>
            <family val="2"/>
          </rPr>
          <t xml:space="preserve">This attribute is used to assign a production limit by period.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R22" authorId="2" shapeId="0" xr:uid="{B82C1148-4753-4923-93C2-C67B5D40F34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22" authorId="1" shapeId="0" xr:uid="{968CFA1B-C5E9-492D-A0A2-485C997CC98A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22" authorId="2" shapeId="0" xr:uid="{A0615139-A259-4F4D-937C-E8C54FC43716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23" authorId="2" shapeId="0" xr:uid="{028E65FC-6C67-4206-97D8-90E7E85C9E5E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2A0D7E80-5B80-433D-8263-BA3B897C06A1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43B8DB13-97B8-4A90-8E0C-84FAE4CBD2EE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2086376C-E954-4E0A-86A9-0D188820E5D4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C18132A6-0DCC-46ED-9E3E-6E9D416748A3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EFF6FA36-E1C1-4FF3-A44F-72D97BD59DA1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15" authorId="2" shapeId="0" xr:uid="{B8BF4189-7AEB-4804-8932-33CB73FCE7E5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15" authorId="1" shapeId="0" xr:uid="{5D6B271C-ECB1-4F2A-B44A-CFC55CCC04E5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15" authorId="2" shapeId="0" xr:uid="{2D72E718-CBF9-42D3-993C-F0AD66976F32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6" authorId="2" shapeId="0" xr:uid="{0B963EA5-F116-4DDE-B632-C6029837D6FB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<sst xmlns="http://schemas.openxmlformats.org/spreadsheetml/2006/main" count="936" uniqueCount="472">
  <si>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</si>
  <si>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</si>
  <si>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</si>
  <si>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</si>
  <si>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</si>
  <si>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</si>
  <si>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</si>
  <si>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</si>
  <si>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</si>
  <si>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</si>
  <si>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</si>
  <si>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</si>
  <si>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</si>
  <si>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</si>
  <si>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</si>
  <si>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</si>
  <si>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</si>
  <si>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</si>
  <si>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</si>
  <si>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</si>
  <si>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</si>
  <si>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</si>
  <si>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</si>
  <si>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</si>
  <si>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</si>
  <si>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</si>
  <si>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</si>
  <si>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</si>
  <si>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</si>
  <si>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</si>
  <si>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</si>
  <si>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</si>
  <si>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</si>
  <si>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</si>
  <si>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</si>
  <si>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</si>
  <si>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</si>
  <si>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</si>
  <si>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</si>
  <si>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</si>
  <si>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</si>
  <si>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</si>
  <si>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</si>
  <si>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</si>
  <si>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</si>
  <si>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OIL</t>
  </si>
  <si>
    <t>ELC</t>
  </si>
  <si>
    <t>Solid Fuels</t>
  </si>
  <si>
    <t>Total</t>
  </si>
  <si>
    <t>PRIMARY</t>
  </si>
  <si>
    <t>MIN</t>
  </si>
  <si>
    <t>Domestic Supply</t>
  </si>
  <si>
    <t>IMP</t>
  </si>
  <si>
    <t>Imports</t>
  </si>
  <si>
    <t>CONVERSION</t>
  </si>
  <si>
    <t>ESC</t>
  </si>
  <si>
    <t>Energy Sector Consumption</t>
  </si>
  <si>
    <t>Electricity Plants</t>
  </si>
  <si>
    <t>HPL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</si>
  <si>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</si>
  <si>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</si>
  <si>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</si>
  <si>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</si>
  <si>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</si>
  <si>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</si>
  <si>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</si>
  <si>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</si>
  <si>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</si>
  <si>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</si>
  <si>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</si>
  <si>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</si>
  <si>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</si>
  <si>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</si>
  <si>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</si>
  <si>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</si>
  <si>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</si>
  <si>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</si>
  <si>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</si>
  <si>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Default Unit</t>
  </si>
  <si>
    <t>Currency Unit</t>
  </si>
  <si>
    <t>ACT_BND</t>
  </si>
  <si>
    <t>*</t>
  </si>
  <si>
    <t>DEM</t>
  </si>
  <si>
    <t>NEN</t>
  </si>
  <si>
    <t>BNK</t>
  </si>
  <si>
    <t>Electricity</t>
  </si>
  <si>
    <t>TFC</t>
  </si>
  <si>
    <t>*Units</t>
  </si>
  <si>
    <t>Annual Production Bound</t>
  </si>
  <si>
    <t>Cost</t>
  </si>
  <si>
    <t>Default Units</t>
  </si>
  <si>
    <t>Currency</t>
  </si>
  <si>
    <t>Activity</t>
  </si>
  <si>
    <t>Emissions</t>
  </si>
  <si>
    <t>kt</t>
  </si>
  <si>
    <t>Domestic Supply Curve Share - Step 1</t>
  </si>
  <si>
    <t>Domestic Supply Curve Share - Step 2</t>
  </si>
  <si>
    <t>Year</t>
  </si>
  <si>
    <t>Data used in the template to buld the model</t>
  </si>
  <si>
    <t>User inputs</t>
  </si>
  <si>
    <t>Linked to the Energy Balance</t>
  </si>
  <si>
    <t>Reference Energy System (from VEDA-FE Go-To RES feature)</t>
  </si>
  <si>
    <t>Objective Function</t>
  </si>
  <si>
    <t>UP</t>
  </si>
  <si>
    <t>Type</t>
  </si>
  <si>
    <t>Existing</t>
  </si>
  <si>
    <t>E</t>
  </si>
  <si>
    <t>STOCK</t>
  </si>
  <si>
    <t>EFF</t>
  </si>
  <si>
    <t>AFA</t>
  </si>
  <si>
    <t>LIFE</t>
  </si>
  <si>
    <t>Existing Installed Capacity</t>
  </si>
  <si>
    <t>Efficiency</t>
  </si>
  <si>
    <t>Utilisation Factor</t>
  </si>
  <si>
    <t>Years</t>
  </si>
  <si>
    <t>DMD</t>
  </si>
  <si>
    <t>TPS</t>
  </si>
  <si>
    <t>Total Primary Supply</t>
  </si>
  <si>
    <t>Total Final Consumption</t>
  </si>
  <si>
    <t>Primary Supply (Mining, Import/Export and total primary supply demand)</t>
  </si>
  <si>
    <t>Run name: DemoS_001</t>
  </si>
  <si>
    <t>Lifetime</t>
  </si>
  <si>
    <t>Objective Function by Scenario</t>
  </si>
  <si>
    <t>_SysCost VEDA-BE table</t>
  </si>
  <si>
    <t>Biomass</t>
  </si>
  <si>
    <t>TH$2022</t>
  </si>
  <si>
    <t>TJ</t>
  </si>
  <si>
    <t xml:space="preserve"> Oil</t>
  </si>
  <si>
    <t>EXP</t>
  </si>
  <si>
    <t>HYD</t>
  </si>
  <si>
    <t>Hydopower</t>
  </si>
  <si>
    <t>BIO</t>
  </si>
  <si>
    <t>Exports</t>
  </si>
  <si>
    <t>MAN</t>
  </si>
  <si>
    <t>Manufacturing</t>
  </si>
  <si>
    <t>CON</t>
  </si>
  <si>
    <t>Construction</t>
  </si>
  <si>
    <t xml:space="preserve">Agriculture </t>
  </si>
  <si>
    <t>Heat Plants and other transformations</t>
  </si>
  <si>
    <t>SOL</t>
  </si>
  <si>
    <t>WIN</t>
  </si>
  <si>
    <t>Solar</t>
  </si>
  <si>
    <t>Wind</t>
  </si>
  <si>
    <t>Break/out by end-use</t>
  </si>
  <si>
    <t>Sector</t>
  </si>
  <si>
    <t>DM1</t>
  </si>
  <si>
    <t>Emission by sector</t>
  </si>
  <si>
    <t>CO2</t>
  </si>
  <si>
    <t>Nox</t>
  </si>
  <si>
    <t>VOC</t>
  </si>
  <si>
    <t>Carbon dioxide</t>
  </si>
  <si>
    <t>NOX</t>
  </si>
  <si>
    <t>Demand1</t>
  </si>
  <si>
    <t>ENV</t>
  </si>
  <si>
    <t>Share-I~UP</t>
  </si>
  <si>
    <t>Input Share</t>
  </si>
  <si>
    <t>Kiln</t>
  </si>
  <si>
    <t>MW</t>
  </si>
  <si>
    <t>Boiler</t>
  </si>
  <si>
    <t>Oil to heat transformation technology</t>
  </si>
  <si>
    <t>Oil</t>
  </si>
  <si>
    <t xml:space="preserve">Manufacturing sector </t>
  </si>
  <si>
    <t>Toal</t>
  </si>
  <si>
    <t>DM2</t>
  </si>
  <si>
    <t>Demand2</t>
  </si>
  <si>
    <t>GWh</t>
  </si>
  <si>
    <t>CAP2ACT</t>
  </si>
  <si>
    <t>conversion factor from cap to act</t>
  </si>
  <si>
    <t>DM3</t>
  </si>
  <si>
    <t>Demand3</t>
  </si>
  <si>
    <t>MANELC</t>
  </si>
  <si>
    <t>Manufacturing coal-domestic</t>
  </si>
  <si>
    <t>Manufacturing coal-imported</t>
  </si>
  <si>
    <t>Manufacturing oil-imported</t>
  </si>
  <si>
    <t>Coal</t>
  </si>
  <si>
    <t>MANHEAT</t>
  </si>
  <si>
    <t>Manufacturing Heat</t>
  </si>
  <si>
    <t>LO</t>
  </si>
  <si>
    <t>INVCOST</t>
  </si>
  <si>
    <t>FIXOM</t>
  </si>
  <si>
    <t>Inestment Cost</t>
  </si>
  <si>
    <t>Fixed O&amp;M Cost</t>
  </si>
  <si>
    <t>Attribute</t>
  </si>
  <si>
    <t>*Unit</t>
  </si>
  <si>
    <t>Demand Commodity Name</t>
  </si>
  <si>
    <t>Demand Unit</t>
  </si>
  <si>
    <t>Demand Value</t>
  </si>
  <si>
    <t>Demand</t>
  </si>
  <si>
    <t>Timeslices</t>
  </si>
  <si>
    <t>COM_FR</t>
  </si>
  <si>
    <t>D</t>
  </si>
  <si>
    <t>W</t>
  </si>
  <si>
    <t>W_01</t>
  </si>
  <si>
    <t>W_02</t>
  </si>
  <si>
    <t>W_03</t>
  </si>
  <si>
    <t>W_04</t>
  </si>
  <si>
    <t>W_05</t>
  </si>
  <si>
    <t>W_06</t>
  </si>
  <si>
    <t>W_07</t>
  </si>
  <si>
    <t>W_08</t>
  </si>
  <si>
    <t>W_09</t>
  </si>
  <si>
    <t>W_10</t>
  </si>
  <si>
    <t>W_11</t>
  </si>
  <si>
    <t>W_12</t>
  </si>
  <si>
    <t>W_13</t>
  </si>
  <si>
    <t>W_14</t>
  </si>
  <si>
    <t>W_15</t>
  </si>
  <si>
    <t>W_16</t>
  </si>
  <si>
    <t>W_17</t>
  </si>
  <si>
    <t>W_18</t>
  </si>
  <si>
    <t>W_19</t>
  </si>
  <si>
    <t>W_20</t>
  </si>
  <si>
    <t>W_21</t>
  </si>
  <si>
    <t>W_22</t>
  </si>
  <si>
    <t>W_23</t>
  </si>
  <si>
    <t>W_24</t>
  </si>
  <si>
    <t>D_01</t>
  </si>
  <si>
    <t>D_02</t>
  </si>
  <si>
    <t>D_03</t>
  </si>
  <si>
    <t>D_04</t>
  </si>
  <si>
    <t>D_05</t>
  </si>
  <si>
    <t>D_06</t>
  </si>
  <si>
    <t>D_07</t>
  </si>
  <si>
    <t>D_08</t>
  </si>
  <si>
    <t>D_09</t>
  </si>
  <si>
    <t>D_10</t>
  </si>
  <si>
    <t>D_11</t>
  </si>
  <si>
    <t>D_12</t>
  </si>
  <si>
    <t>D_13</t>
  </si>
  <si>
    <t>D_14</t>
  </si>
  <si>
    <t>D_15</t>
  </si>
  <si>
    <t>D_16</t>
  </si>
  <si>
    <t>D_17</t>
  </si>
  <si>
    <t>D_18</t>
  </si>
  <si>
    <t>D_19</t>
  </si>
  <si>
    <t>D_20</t>
  </si>
  <si>
    <t>D_21</t>
  </si>
  <si>
    <t>D_22</t>
  </si>
  <si>
    <t>D_23</t>
  </si>
  <si>
    <t>D_24</t>
  </si>
  <si>
    <t>TH2022USD/GWh</t>
  </si>
  <si>
    <t>GW per annum</t>
  </si>
  <si>
    <t>Annual operating hours</t>
  </si>
  <si>
    <t>Annual energy consumption devided by the product of annual hours*effficiency</t>
  </si>
  <si>
    <t>CONOILIMP</t>
  </si>
  <si>
    <t>CONELC</t>
  </si>
  <si>
    <t>Construction oil</t>
  </si>
  <si>
    <t>Construction Electricity</t>
  </si>
  <si>
    <t>ICI</t>
  </si>
  <si>
    <t>Internal combustion engine</t>
  </si>
  <si>
    <t>Electricity for machine drive</t>
  </si>
  <si>
    <t>Manufacturing heat</t>
  </si>
  <si>
    <t>MWa</t>
  </si>
  <si>
    <t>Coal to heat transformation technology</t>
  </si>
  <si>
    <t>Dynamic coefficients for combustion emissions in transport</t>
  </si>
  <si>
    <t>~COMEMI</t>
  </si>
  <si>
    <t>kt/GWh</t>
  </si>
  <si>
    <t>GRIDELC</t>
  </si>
  <si>
    <t>GRID Electricity</t>
  </si>
  <si>
    <t>Manufacturing  Electricity for machine drive and other services</t>
  </si>
  <si>
    <t>GRID</t>
  </si>
  <si>
    <t>Grid electricity</t>
  </si>
  <si>
    <t>Manufacturing ElectricitySupply-ELC</t>
  </si>
  <si>
    <t>Electricity share</t>
  </si>
  <si>
    <t>Fossil share</t>
  </si>
  <si>
    <t>Demand Driver(Annual growth)</t>
  </si>
  <si>
    <t>DayNite</t>
  </si>
  <si>
    <t>WINDELC</t>
  </si>
  <si>
    <t>SOLELC</t>
  </si>
  <si>
    <t>Wind Electricity</t>
  </si>
  <si>
    <t>Solar Electricity</t>
  </si>
  <si>
    <t>SOLTHT</t>
  </si>
  <si>
    <t>Solar thermal</t>
  </si>
  <si>
    <t>NGAS</t>
  </si>
  <si>
    <t>WIND</t>
  </si>
  <si>
    <t>GAS</t>
  </si>
  <si>
    <t>Ngas</t>
  </si>
  <si>
    <t>CSP</t>
  </si>
  <si>
    <t>Solar to heat transformation technology</t>
  </si>
  <si>
    <t>Furnace</t>
  </si>
  <si>
    <t>Electricity to MANHEAT</t>
  </si>
  <si>
    <t>MANDRIVE</t>
  </si>
  <si>
    <t>Manufacturing non-process electricity supply</t>
  </si>
  <si>
    <r>
      <rPr>
        <sz val="10"/>
        <color rgb="FFFF0000"/>
        <rFont val="Arial"/>
        <family val="2"/>
      </rPr>
      <t>MAN</t>
    </r>
    <r>
      <rPr>
        <sz val="10"/>
        <rFont val="Arial"/>
        <family val="2"/>
      </rPr>
      <t>COALMIN</t>
    </r>
  </si>
  <si>
    <r>
      <rPr>
        <sz val="10"/>
        <color rgb="FFFF0000"/>
        <rFont val="Arial"/>
        <family val="2"/>
      </rPr>
      <t>MAN</t>
    </r>
    <r>
      <rPr>
        <sz val="10"/>
        <rFont val="Arial"/>
        <family val="2"/>
      </rPr>
      <t>COALIMP</t>
    </r>
  </si>
  <si>
    <r>
      <rPr>
        <sz val="10"/>
        <color rgb="FFFF0000"/>
        <rFont val="Arial"/>
        <family val="2"/>
      </rPr>
      <t>MAN</t>
    </r>
    <r>
      <rPr>
        <sz val="10"/>
        <rFont val="Arial"/>
        <family val="2"/>
      </rPr>
      <t>OILIMP</t>
    </r>
  </si>
  <si>
    <r>
      <rPr>
        <sz val="10"/>
        <color rgb="FF00B050"/>
        <rFont val="Arial"/>
        <family val="2"/>
      </rPr>
      <t>MAN</t>
    </r>
    <r>
      <rPr>
        <sz val="10"/>
        <color rgb="FFFF0000"/>
        <rFont val="Arial"/>
        <family val="2"/>
      </rPr>
      <t>BIOMIN</t>
    </r>
  </si>
  <si>
    <r>
      <rPr>
        <sz val="10"/>
        <color rgb="FF00B050"/>
        <rFont val="Arial"/>
        <family val="2"/>
      </rPr>
      <t>MAN</t>
    </r>
    <r>
      <rPr>
        <sz val="10"/>
        <color rgb="FFFF0000"/>
        <rFont val="Arial"/>
        <family val="2"/>
      </rPr>
      <t>GASMIN</t>
    </r>
  </si>
  <si>
    <t>WNDTRBN</t>
  </si>
  <si>
    <t>Wind turbine</t>
  </si>
  <si>
    <t>SOLPV</t>
  </si>
  <si>
    <t>Solar PV</t>
  </si>
  <si>
    <t>Solar themal</t>
  </si>
  <si>
    <t>Manufacturing CO2</t>
  </si>
  <si>
    <t>ktoe</t>
  </si>
  <si>
    <t>MANCO2</t>
  </si>
  <si>
    <r>
      <t>Projected energy demand by sector</t>
    </r>
    <r>
      <rPr>
        <sz val="12"/>
        <color theme="1"/>
        <rFont val="Times New Roman"/>
        <family val="1"/>
      </rPr>
      <t>(Asfaw et al. 2024)</t>
    </r>
  </si>
  <si>
    <r>
      <t>Electricity demand projections</t>
    </r>
    <r>
      <rPr>
        <i/>
        <sz val="12"/>
        <color rgb="FF0E2841"/>
        <rFont val="Times New Roman"/>
        <family val="1"/>
      </rPr>
      <t xml:space="preserve">(Gebremeskel et al. 2023) </t>
    </r>
  </si>
  <si>
    <t>Transport sector</t>
  </si>
  <si>
    <t>Industry and construction</t>
  </si>
  <si>
    <t>Household and other sectors</t>
  </si>
  <si>
    <t>Electricity consumption in (TWh)</t>
  </si>
  <si>
    <t>Electricity consumption in (ktoe)</t>
  </si>
  <si>
    <t xml:space="preserve">Assumed GDP growth rate </t>
  </si>
  <si>
    <t>7,5</t>
  </si>
  <si>
    <t>8,5</t>
  </si>
  <si>
    <t xml:space="preserve">Sector </t>
  </si>
  <si>
    <t>Energy demand prediction by sector(ktoe)</t>
  </si>
  <si>
    <t>Household</t>
  </si>
  <si>
    <t>Agriculture</t>
  </si>
  <si>
    <t>Export</t>
  </si>
  <si>
    <t>Energy demand prediction by sector(TJ)</t>
  </si>
  <si>
    <t>Actual Data</t>
  </si>
  <si>
    <t>Base year</t>
  </si>
  <si>
    <t xml:space="preserve">Projection </t>
  </si>
  <si>
    <t>Industry energy consumption projection(GWh) Reference Scenario</t>
  </si>
  <si>
    <t>Total Energy demand projection of Asfaw 2023</t>
  </si>
  <si>
    <t>The projection in 2050 is the avarge of Asfaw(2023) 2048 and 2052 projection</t>
  </si>
  <si>
    <t>Industry electricity demand projection</t>
  </si>
  <si>
    <t>Total electricity demand projections of (Gebremeskel et al. 2023) for 2030 and 2050</t>
  </si>
  <si>
    <t>Industry sector oilandcoal consumption</t>
  </si>
  <si>
    <t>% of electricity consumption in the Industry sector</t>
  </si>
  <si>
    <t>%  of other energy source consumption in the Industry</t>
  </si>
  <si>
    <t>Industry Percent of total energy consumption growth between 2022 and 2050</t>
  </si>
  <si>
    <t>Industry Electricity consumption growth between 2022 and 2050</t>
  </si>
  <si>
    <t>Industry Coal, oil and other energy consumption growth between 2050 and 2022</t>
  </si>
  <si>
    <t xml:space="preserve">Electricity consumption </t>
  </si>
  <si>
    <t>95% of electricity is consumed in the manufacturing sector</t>
  </si>
  <si>
    <t>Oil and coal</t>
  </si>
  <si>
    <t>The growth of oil and coal consumption between 2022 and 2050 in the industry sector is used to the demand of oil and coal in the manufacturing sector</t>
  </si>
  <si>
    <t>Assume the oil consumption share keeps the same between 2022 and 2050</t>
  </si>
  <si>
    <t>Coal domestic</t>
  </si>
  <si>
    <t>Assume the domestic coal consumption share increased from 44% to 80% between 2022 and 2050 in the baseline</t>
  </si>
  <si>
    <t>Coal imported</t>
  </si>
  <si>
    <t>Coal total</t>
  </si>
  <si>
    <t xml:space="preserve">% non/electricity consumption of Manufacturing sector </t>
  </si>
  <si>
    <t>Electricity consumption share (%)</t>
  </si>
  <si>
    <t>Electricity consumption growth in the Manufacturing sectorbetween 2022 and 2050</t>
  </si>
  <si>
    <t>Industry Electric Consumption in TJ</t>
  </si>
  <si>
    <t>Industry imported coal in TJ</t>
  </si>
  <si>
    <t>Industry domestic coal in TJ</t>
  </si>
  <si>
    <t>Industry oil in TJ</t>
  </si>
  <si>
    <t>Total Industry Consumption</t>
  </si>
  <si>
    <t>Manufacturing Electricity in TJ</t>
  </si>
  <si>
    <t>Manufacturing oil imported in TJ</t>
  </si>
  <si>
    <t>Manufacturing coal domestic in TJ</t>
  </si>
  <si>
    <t>Manufacturing coal imported in TJ</t>
  </si>
  <si>
    <t>Non/manufacturing sector Electricity Consumption TJ</t>
  </si>
  <si>
    <t>Non/manufacturing sector oil Consumption TJ</t>
  </si>
  <si>
    <t>Reference Scenario</t>
  </si>
  <si>
    <t>CAGR</t>
  </si>
  <si>
    <t>Average of 2028 and 2032</t>
  </si>
  <si>
    <t>Average of 2048 and 2053</t>
  </si>
  <si>
    <t>Total Industry Consumption in GWh</t>
  </si>
  <si>
    <t>Projected Industry Sector energy demand in reference scenario(Asfaw)</t>
  </si>
  <si>
    <t>Total Industry Electricity in GWh</t>
  </si>
  <si>
    <t>Total fossilfuel Consumption in GWh</t>
  </si>
  <si>
    <t>Manufacturing Electricity consumption in GWh</t>
  </si>
  <si>
    <t>Electricity consumption projection of manufacturing sector 95% of electricity consumption demand of industry sector</t>
  </si>
  <si>
    <t>Manufacturing Oil Consumption in GWh</t>
  </si>
  <si>
    <t>Manufacturing Imported Coal Consumption in GWh</t>
  </si>
  <si>
    <t>Manufacturing Domestic  Coal Consumption in GWh</t>
  </si>
  <si>
    <t>Oil and coal manufacturing sector consumption total</t>
  </si>
  <si>
    <t>Non/Manufacturing sector Electricity consumption in GWh</t>
  </si>
  <si>
    <t>Non-Manufacturing sector oil consumption in GWh</t>
  </si>
  <si>
    <t>Manufacturing sector Electricity consumption share</t>
  </si>
  <si>
    <t>Manufacturing sector Oil consumption share</t>
  </si>
  <si>
    <t>Manufacturing sector imported Coal consumption share</t>
  </si>
  <si>
    <t>Manufacturing sector domestic coalconsumption share</t>
  </si>
  <si>
    <t>Manufacturing sector fossilfuel consumption</t>
  </si>
  <si>
    <t>Non-Manufacturing electricity consumptionshare</t>
  </si>
  <si>
    <t>Non-Manufacturing oil consumptionshare</t>
  </si>
  <si>
    <t>Non/manufacturing sector fossilfuel consumption share</t>
  </si>
  <si>
    <t>Manufacturing Sector electricity consumption share as percent of total energy consumption of the industry sector</t>
  </si>
  <si>
    <t>Manufacturing Sector Oil consumption share as percent of total energy consumption of the industry sector</t>
  </si>
  <si>
    <t>Manufacturing Sector Coal consumption share as percent of total energy consumption of the industry sector</t>
  </si>
  <si>
    <t>Oil consumption as percent of total fossilfuels</t>
  </si>
  <si>
    <t>Domestic coal consumption as percent of total fossilfuels</t>
  </si>
  <si>
    <t>Imported coal consumption as percent of total fossilfuels</t>
  </si>
  <si>
    <t>Non-manufacturing sector electricity consumptionshare</t>
  </si>
  <si>
    <t>Non-manufacturing sector oil consumptionshare</t>
  </si>
  <si>
    <t>Growth rate of electricity consumption</t>
  </si>
  <si>
    <t>Growth rate of oil consumption</t>
  </si>
  <si>
    <t>Growth rate of imported coal consumption</t>
  </si>
  <si>
    <t>Growthrate of domestic coal consumption</t>
  </si>
  <si>
    <t>Structural Economic Growth scenario</t>
  </si>
  <si>
    <t>High economic growth rate scenario energy demand projection from asfaw 10.5 %GDP growth rate</t>
  </si>
  <si>
    <t>Manufacturing sector total energy consumption</t>
  </si>
  <si>
    <t>Assumption manufacturing sector energy consumption reaches about30% total energy consumption of the manufacturing sector</t>
  </si>
  <si>
    <t>Growthrate</t>
  </si>
  <si>
    <t>Average</t>
  </si>
  <si>
    <t>Africa</t>
  </si>
  <si>
    <t>World</t>
  </si>
  <si>
    <t>Installation Cost per kW</t>
  </si>
  <si>
    <t>Hydro</t>
  </si>
  <si>
    <t>2024USD</t>
  </si>
  <si>
    <t>LCOE per kWh</t>
  </si>
  <si>
    <t>Technology learning rate</t>
  </si>
  <si>
    <t>Cost reduction elasticity</t>
  </si>
  <si>
    <t xml:space="preserve">Solar-Wind </t>
  </si>
  <si>
    <t>PV-Battery</t>
  </si>
  <si>
    <t>Capacity Factor</t>
  </si>
  <si>
    <t>Ethiopia</t>
  </si>
  <si>
    <t>Wold</t>
  </si>
  <si>
    <t>Minimum</t>
  </si>
  <si>
    <t>Avarage</t>
  </si>
  <si>
    <t>Maximum</t>
  </si>
  <si>
    <t>Grid Electricity</t>
  </si>
  <si>
    <t>Mini grid electricity</t>
  </si>
  <si>
    <t>IRENA 2025</t>
  </si>
  <si>
    <t xml:space="preserve">Source </t>
  </si>
  <si>
    <t>Solar PV/roof top</t>
  </si>
  <si>
    <t>2018USD</t>
  </si>
  <si>
    <t>Wind/smal</t>
  </si>
  <si>
    <t>Solar PV utility</t>
  </si>
  <si>
    <t>Wind Utility</t>
  </si>
  <si>
    <t>Gebremeskel 2023</t>
  </si>
  <si>
    <t>CSP(storage)</t>
  </si>
  <si>
    <t>Variable Costper KWh</t>
  </si>
  <si>
    <t>Fixed cost per kW</t>
  </si>
  <si>
    <t>Cpacity Factor</t>
  </si>
  <si>
    <t>%</t>
  </si>
  <si>
    <t xml:space="preserve">Avalability Factor </t>
  </si>
  <si>
    <t>Capacity Credit</t>
  </si>
  <si>
    <t>Life cycle</t>
  </si>
  <si>
    <t>CO2 emission</t>
  </si>
  <si>
    <t>kg/kWh</t>
  </si>
  <si>
    <t>Nox emission</t>
  </si>
  <si>
    <t>Fuel Type</t>
  </si>
  <si>
    <t>Fuel Price</t>
  </si>
  <si>
    <t>USD/GWh</t>
  </si>
  <si>
    <t>Coal Domestic</t>
  </si>
  <si>
    <t>Oil import(Diesel)</t>
  </si>
  <si>
    <t>Oilimported</t>
  </si>
  <si>
    <t>Natural Gas imported</t>
  </si>
  <si>
    <t>Customs 2022</t>
  </si>
  <si>
    <t>Customs 2023</t>
  </si>
  <si>
    <t>Customs 2024</t>
  </si>
  <si>
    <t>Bioenergy/Biomass</t>
  </si>
  <si>
    <t>Economic Life</t>
  </si>
  <si>
    <t>O&amp;M Cost</t>
  </si>
  <si>
    <t>Avergae</t>
  </si>
  <si>
    <t>Gebremeskel 2024</t>
  </si>
  <si>
    <t>Gebremeskel 2025</t>
  </si>
  <si>
    <t>Gebremeskel 2026</t>
  </si>
  <si>
    <t>Gebremeskel 2032</t>
  </si>
  <si>
    <t>Gebremeskel 2033</t>
  </si>
  <si>
    <t>Gebremeskel 2034</t>
  </si>
  <si>
    <t>Gebremeskel 2035</t>
  </si>
  <si>
    <t>USD2024/kWh</t>
  </si>
  <si>
    <t>Battry Energy Storage</t>
  </si>
  <si>
    <t>Technology</t>
  </si>
  <si>
    <t>Bioenergy/Biogas</t>
  </si>
  <si>
    <t xml:space="preserve">Efficency </t>
  </si>
  <si>
    <t>Sliper 2024</t>
  </si>
  <si>
    <t>Biomass Boiler</t>
  </si>
  <si>
    <t>(Alem Tafesse 2016)</t>
  </si>
  <si>
    <t>Electricity Boiler</t>
  </si>
  <si>
    <t>Oilboiler</t>
  </si>
  <si>
    <t>Existing measured in Ethiopia</t>
  </si>
  <si>
    <t>(Yosef and Bekele)</t>
  </si>
  <si>
    <t>(Abdi et al. 2021)</t>
  </si>
  <si>
    <t>Kiln1</t>
  </si>
  <si>
    <t>(Emyat 2019)</t>
  </si>
  <si>
    <t>(Eshetu Wondimu 2010)</t>
  </si>
  <si>
    <t>(Adino et al. 2024)</t>
  </si>
  <si>
    <t>Oilboiler1</t>
  </si>
  <si>
    <t>Oilboiler2</t>
  </si>
  <si>
    <t>(Samuel  G/Mariam 2009)</t>
  </si>
  <si>
    <t>Oilboiler3</t>
  </si>
  <si>
    <t>Manufacturing electricity for non-process heat</t>
  </si>
  <si>
    <t>Aggrigate electricity demand of manufacturing sector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</si>
</sst>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&quot;-&quot;??_-;_-@_-"/>
    <numFmt numFmtId="165" formatCode="General_)"/>
    <numFmt numFmtId="166" formatCode="\Te\x\t"/>
    <numFmt numFmtId="167" formatCode="0.0"/>
    <numFmt numFmtId="168" formatCode="0.000%"/>
    <numFmt numFmtId="169" formatCode="0.0000%"/>
    <numFmt numFmtId="170" formatCode="0.0%"/>
  </numFmts>
  <fonts count="4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  <font>
      <sz val="8"/>
      <name val="Arial"/>
      <family val="2"/>
    </font>
    <font>
      <sz val="14"/>
      <color indexed="9"/>
      <name val="Arial"/>
      <family val="2"/>
    </font>
    <font>
      <sz val="10"/>
      <color rgb="FF00B050"/>
      <name val="Arial"/>
      <family val="2"/>
    </font>
    <font>
      <sz val="10"/>
      <color rgb="FF7030A0"/>
      <name val="Arial"/>
      <family val="2"/>
    </font>
    <font>
      <sz val="11"/>
      <color rgb="FFFF0000"/>
      <name val="Calibri"/>
      <family val="2"/>
      <scheme val="minor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1"/>
      <color rgb="FF9C5700"/>
      <name val="Calibri"/>
      <family val="2"/>
      <scheme val="minor"/>
    </font>
    <font>
      <sz val="12"/>
      <color rgb="FF0E2841"/>
      <name val="Times New Roman"/>
      <family val="1"/>
    </font>
    <font>
      <i/>
      <sz val="12"/>
      <color rgb="FF0E2841"/>
      <name val="Times New Roman"/>
      <family val="1"/>
    </font>
    <font>
      <sz val="10"/>
      <color rgb="FF000000"/>
      <name val="Times New Roman"/>
      <family val="1"/>
    </font>
    <font>
      <i/>
      <sz val="10"/>
      <color rgb="FF000000"/>
      <name val="Times New Roman"/>
      <family val="1"/>
    </font>
    <font>
      <sz val="10"/>
      <color rgb="FFFF0000"/>
      <name val="Times New Roman"/>
      <family val="1"/>
    </font>
    <font>
      <sz val="11"/>
      <color rgb="FF7030A0"/>
      <name val="Calibri"/>
      <family val="2"/>
      <scheme val="minor"/>
    </font>
    <font>
      <sz val="20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12"/>
      <name val="Times New Roman"/>
      <family val="1"/>
    </font>
    <font>
      <sz val="8"/>
      <name val="Arial"/>
      <family val="2"/>
    </font>
    <font>
      <sz val="10"/>
      <name val="Times New Roman"/>
      <family val="1"/>
    </font>
  </fonts>
  <fills count="3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3">
    <xf numFmtId="0" fontId="0" fillId="0" borderId="0"/>
    <xf numFmtId="0" fontId="16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10" applyNumberFormat="0" applyAlignment="0" applyProtection="0"/>
    <xf numFmtId="164" fontId="16" fillId="0" borderId="0" applyFont="0" applyFill="0" applyBorder="0" applyAlignment="0" applyProtection="0"/>
    <xf numFmtId="0" fontId="19" fillId="7" borderId="0" applyNumberFormat="0" applyBorder="0" applyAlignment="0" applyProtection="0"/>
    <xf numFmtId="0" fontId="20" fillId="8" borderId="10" applyNumberFormat="0" applyAlignment="0" applyProtection="0"/>
    <xf numFmtId="0" fontId="21" fillId="9" borderId="0" applyNumberFormat="0" applyBorder="0" applyAlignment="0" applyProtection="0"/>
    <xf numFmtId="0" fontId="9" fillId="0" borderId="0"/>
    <xf numFmtId="0" fontId="9" fillId="0" borderId="0"/>
    <xf numFmtId="0" fontId="9" fillId="0" borderId="0"/>
    <xf numFmtId="0" fontId="9" fillId="0" borderId="0"/>
    <xf numFmtId="0" fontId="16" fillId="0" borderId="0"/>
    <xf numFmtId="0" fontId="9" fillId="0" borderId="0"/>
    <xf numFmtId="0" fontId="7" fillId="0" borderId="0"/>
    <xf numFmtId="9" fontId="6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15" fillId="0" borderId="0" applyFont="0" applyFill="0" applyBorder="0" applyAlignment="0" applyProtection="0"/>
    <xf numFmtId="0" fontId="9" fillId="0" borderId="0"/>
    <xf numFmtId="0" fontId="5" fillId="3" borderId="0" applyNumberFormat="0" applyBorder="0" applyAlignment="0" applyProtection="0"/>
    <xf numFmtId="9" fontId="6" fillId="0" borderId="0" applyFont="0" applyFill="0" applyBorder="0" applyAlignment="0" applyProtection="0"/>
    <xf numFmtId="0" fontId="4" fillId="3" borderId="0" applyNumberFormat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3" fillId="3" borderId="0" applyNumberFormat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2" fillId="3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7" fillId="26" borderId="0" applyNumberFormat="0" applyBorder="0" applyAlignment="0" applyProtection="0"/>
    <xf numFmtId="0" fontId="1" fillId="0" borderId="0"/>
    <xf numFmtId="0" fontId="35" fillId="9" borderId="0" applyNumberFormat="0" applyBorder="0" applyAlignment="0" applyProtection="0"/>
    <xf numFmtId="9" fontId="1" fillId="0" borderId="0" applyFont="0" applyFill="0" applyBorder="0" applyAlignment="0" applyProtection="0"/>
  </cellStyleXfs>
  <cellXfs count="275">
    <xf numFmtId="0" fontId="0" fillId="0" borderId="0" xfId="0"/>
    <xf numFmtId="0" fontId="9" fillId="0" borderId="0" xfId="0" applyFont="1"/>
    <xf numFmtId="0" fontId="8" fillId="2" borderId="1" xfId="0" applyFont="1" applyFill="1" applyBorder="1" applyAlignment="1">
      <alignment horizontal="left"/>
    </xf>
    <xf numFmtId="0" fontId="10" fillId="0" borderId="0" xfId="11" applyFont="1" applyAlignment="1">
      <alignment horizontal="left"/>
    </xf>
    <xf numFmtId="0" fontId="0" fillId="0" borderId="2" xfId="0" applyBorder="1"/>
    <xf numFmtId="1" fontId="0" fillId="0" borderId="0" xfId="0" applyNumberFormat="1"/>
    <xf numFmtId="0" fontId="17" fillId="5" borderId="0" xfId="3"/>
    <xf numFmtId="0" fontId="22" fillId="10" borderId="0" xfId="6" applyFont="1" applyFill="1"/>
    <xf numFmtId="0" fontId="23" fillId="3" borderId="3" xfId="1" applyFont="1" applyBorder="1" applyAlignment="1">
      <alignment horizontal="center" wrapText="1"/>
    </xf>
    <xf numFmtId="0" fontId="23" fillId="3" borderId="3" xfId="1" applyFont="1" applyBorder="1" applyAlignment="1">
      <alignment horizontal="left" wrapText="1"/>
    </xf>
    <xf numFmtId="0" fontId="8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0" fontId="24" fillId="0" borderId="0" xfId="0" applyFont="1"/>
    <xf numFmtId="0" fontId="9" fillId="0" borderId="5" xfId="0" applyFont="1" applyBorder="1"/>
    <xf numFmtId="0" fontId="9" fillId="0" borderId="6" xfId="0" applyFont="1" applyBorder="1"/>
    <xf numFmtId="9" fontId="25" fillId="0" borderId="6" xfId="16" applyFont="1" applyBorder="1" applyAlignment="1"/>
    <xf numFmtId="0" fontId="9" fillId="0" borderId="7" xfId="0" applyFont="1" applyBorder="1"/>
    <xf numFmtId="9" fontId="25" fillId="0" borderId="7" xfId="16" applyFont="1" applyBorder="1" applyAlignment="1"/>
    <xf numFmtId="9" fontId="25" fillId="0" borderId="0" xfId="16" applyFont="1" applyBorder="1" applyAlignment="1"/>
    <xf numFmtId="0" fontId="17" fillId="5" borderId="0" xfId="3" applyAlignment="1">
      <alignment wrapText="1"/>
    </xf>
    <xf numFmtId="0" fontId="8" fillId="0" borderId="0" xfId="0" applyFont="1"/>
    <xf numFmtId="1" fontId="9" fillId="0" borderId="0" xfId="9" applyNumberFormat="1"/>
    <xf numFmtId="0" fontId="8" fillId="0" borderId="2" xfId="0" applyFont="1" applyBorder="1" applyAlignment="1">
      <alignment horizontal="center" wrapText="1"/>
    </xf>
    <xf numFmtId="0" fontId="26" fillId="0" borderId="0" xfId="0" applyFont="1"/>
    <xf numFmtId="0" fontId="22" fillId="10" borderId="0" xfId="6" applyFont="1" applyFill="1" applyAlignment="1">
      <alignment horizontal="left"/>
    </xf>
    <xf numFmtId="1" fontId="0" fillId="11" borderId="0" xfId="0" applyNumberFormat="1" applyFill="1"/>
    <xf numFmtId="1" fontId="8" fillId="11" borderId="0" xfId="0" applyNumberFormat="1" applyFont="1" applyFill="1"/>
    <xf numFmtId="0" fontId="26" fillId="12" borderId="2" xfId="0" applyFont="1" applyFill="1" applyBorder="1" applyAlignment="1">
      <alignment wrapText="1"/>
    </xf>
    <xf numFmtId="0" fontId="8" fillId="12" borderId="2" xfId="0" applyFont="1" applyFill="1" applyBorder="1" applyAlignment="1">
      <alignment wrapText="1"/>
    </xf>
    <xf numFmtId="0" fontId="26" fillId="12" borderId="0" xfId="0" applyFont="1" applyFill="1"/>
    <xf numFmtId="1" fontId="0" fillId="13" borderId="0" xfId="0" applyNumberFormat="1" applyFill="1"/>
    <xf numFmtId="1" fontId="8" fillId="13" borderId="0" xfId="0" applyNumberFormat="1" applyFont="1" applyFill="1"/>
    <xf numFmtId="1" fontId="0" fillId="14" borderId="0" xfId="0" applyNumberFormat="1" applyFill="1"/>
    <xf numFmtId="1" fontId="0" fillId="14" borderId="2" xfId="0" applyNumberFormat="1" applyFill="1" applyBorder="1"/>
    <xf numFmtId="1" fontId="8" fillId="14" borderId="0" xfId="0" applyNumberFormat="1" applyFont="1" applyFill="1"/>
    <xf numFmtId="1" fontId="20" fillId="8" borderId="0" xfId="7" applyNumberFormat="1" applyBorder="1" applyAlignment="1"/>
    <xf numFmtId="1" fontId="18" fillId="6" borderId="4" xfId="4" applyNumberFormat="1" applyBorder="1" applyAlignment="1">
      <alignment horizontal="right"/>
    </xf>
    <xf numFmtId="1" fontId="20" fillId="8" borderId="4" xfId="7" applyNumberFormat="1" applyBorder="1" applyAlignment="1"/>
    <xf numFmtId="165" fontId="18" fillId="6" borderId="5" xfId="4" applyNumberFormat="1" applyBorder="1" applyAlignment="1">
      <alignment horizontal="right" vertical="center"/>
    </xf>
    <xf numFmtId="0" fontId="8" fillId="0" borderId="2" xfId="0" applyFont="1" applyBorder="1"/>
    <xf numFmtId="1" fontId="18" fillId="6" borderId="11" xfId="4" applyNumberFormat="1" applyBorder="1" applyAlignment="1">
      <alignment horizontal="right"/>
    </xf>
    <xf numFmtId="1" fontId="18" fillId="6" borderId="12" xfId="4" applyNumberFormat="1" applyBorder="1" applyAlignment="1">
      <alignment horizontal="right"/>
    </xf>
    <xf numFmtId="165" fontId="14" fillId="13" borderId="6" xfId="0" applyNumberFormat="1" applyFont="1" applyFill="1" applyBorder="1" applyAlignment="1">
      <alignment horizontal="left" vertical="center"/>
    </xf>
    <xf numFmtId="165" fontId="14" fillId="13" borderId="8" xfId="0" applyNumberFormat="1" applyFont="1" applyFill="1" applyBorder="1" applyAlignment="1">
      <alignment horizontal="left" vertical="center"/>
    </xf>
    <xf numFmtId="165" fontId="14" fillId="14" borderId="6" xfId="0" applyNumberFormat="1" applyFont="1" applyFill="1" applyBorder="1" applyAlignment="1">
      <alignment horizontal="left" vertical="center"/>
    </xf>
    <xf numFmtId="165" fontId="14" fillId="14" borderId="8" xfId="0" applyNumberFormat="1" applyFont="1" applyFill="1" applyBorder="1" applyAlignment="1">
      <alignment horizontal="left" vertical="center"/>
    </xf>
    <xf numFmtId="165" fontId="14" fillId="14" borderId="7" xfId="0" applyNumberFormat="1" applyFont="1" applyFill="1" applyBorder="1" applyAlignment="1">
      <alignment horizontal="left" vertical="center"/>
    </xf>
    <xf numFmtId="0" fontId="0" fillId="15" borderId="0" xfId="0" applyFill="1"/>
    <xf numFmtId="0" fontId="9" fillId="13" borderId="0" xfId="8" applyFont="1" applyFill="1"/>
    <xf numFmtId="2" fontId="9" fillId="13" borderId="0" xfId="0" applyNumberFormat="1" applyFont="1" applyFill="1"/>
    <xf numFmtId="0" fontId="27" fillId="0" borderId="0" xfId="0" applyFont="1"/>
    <xf numFmtId="0" fontId="8" fillId="16" borderId="0" xfId="0" applyFont="1" applyFill="1"/>
    <xf numFmtId="0" fontId="22" fillId="10" borderId="0" xfId="6" applyFont="1" applyFill="1" applyAlignment="1">
      <alignment wrapText="1"/>
    </xf>
    <xf numFmtId="0" fontId="22" fillId="0" borderId="0" xfId="6" applyFont="1" applyFill="1"/>
    <xf numFmtId="0" fontId="8" fillId="2" borderId="1" xfId="11" applyFont="1" applyFill="1" applyBorder="1" applyAlignment="1">
      <alignment horizontal="left" vertical="center"/>
    </xf>
    <xf numFmtId="0" fontId="17" fillId="4" borderId="0" xfId="2"/>
    <xf numFmtId="0" fontId="0" fillId="0" borderId="4" xfId="0" applyBorder="1"/>
    <xf numFmtId="1" fontId="20" fillId="8" borderId="1" xfId="7" applyNumberFormat="1" applyBorder="1" applyAlignment="1"/>
    <xf numFmtId="1" fontId="18" fillId="6" borderId="13" xfId="4" applyNumberFormat="1" applyBorder="1" applyAlignment="1">
      <alignment horizontal="right"/>
    </xf>
    <xf numFmtId="165" fontId="13" fillId="0" borderId="5" xfId="0" applyNumberFormat="1" applyFont="1" applyBorder="1" applyAlignment="1">
      <alignment horizontal="left" vertical="center"/>
    </xf>
    <xf numFmtId="165" fontId="14" fillId="11" borderId="8" xfId="0" applyNumberFormat="1" applyFont="1" applyFill="1" applyBorder="1" applyAlignment="1">
      <alignment horizontal="left" vertical="center"/>
    </xf>
    <xf numFmtId="165" fontId="13" fillId="0" borderId="7" xfId="0" applyNumberFormat="1" applyFont="1" applyBorder="1" applyAlignment="1">
      <alignment horizontal="left" vertical="center"/>
    </xf>
    <xf numFmtId="0" fontId="9" fillId="0" borderId="0" xfId="8" applyFont="1" applyFill="1"/>
    <xf numFmtId="2" fontId="9" fillId="0" borderId="0" xfId="0" applyNumberFormat="1" applyFont="1"/>
    <xf numFmtId="0" fontId="8" fillId="2" borderId="1" xfId="0" applyFont="1" applyFill="1" applyBorder="1" applyAlignment="1">
      <alignment horizontal="center"/>
    </xf>
    <xf numFmtId="166" fontId="10" fillId="0" borderId="0" xfId="0" applyNumberFormat="1" applyFont="1"/>
    <xf numFmtId="166" fontId="9" fillId="0" borderId="0" xfId="0" applyNumberFormat="1" applyFont="1"/>
    <xf numFmtId="166" fontId="8" fillId="2" borderId="1" xfId="0" applyNumberFormat="1" applyFont="1" applyFill="1" applyBorder="1" applyAlignment="1">
      <alignment horizontal="left"/>
    </xf>
    <xf numFmtId="166" fontId="8" fillId="2" borderId="4" xfId="0" applyNumberFormat="1" applyFont="1" applyFill="1" applyBorder="1" applyAlignment="1">
      <alignment horizontal="left"/>
    </xf>
    <xf numFmtId="166" fontId="23" fillId="3" borderId="3" xfId="1" applyNumberFormat="1" applyFont="1" applyBorder="1" applyAlignment="1">
      <alignment horizontal="left" wrapText="1"/>
    </xf>
    <xf numFmtId="166" fontId="0" fillId="0" borderId="0" xfId="0" applyNumberFormat="1"/>
    <xf numFmtId="166" fontId="23" fillId="3" borderId="3" xfId="1" applyNumberFormat="1" applyFont="1" applyBorder="1" applyAlignment="1">
      <alignment horizontal="center" wrapText="1"/>
    </xf>
    <xf numFmtId="166" fontId="0" fillId="0" borderId="0" xfId="0" applyNumberFormat="1" applyAlignment="1">
      <alignment wrapText="1"/>
    </xf>
    <xf numFmtId="1" fontId="0" fillId="14" borderId="1" xfId="0" applyNumberFormat="1" applyFill="1" applyBorder="1"/>
    <xf numFmtId="1" fontId="18" fillId="6" borderId="2" xfId="4" applyNumberFormat="1" applyBorder="1" applyAlignment="1">
      <alignment horizontal="right"/>
    </xf>
    <xf numFmtId="1" fontId="18" fillId="6" borderId="14" xfId="4" applyNumberFormat="1" applyBorder="1" applyAlignment="1">
      <alignment horizontal="right"/>
    </xf>
    <xf numFmtId="165" fontId="14" fillId="14" borderId="1" xfId="0" applyNumberFormat="1" applyFont="1" applyFill="1" applyBorder="1" applyAlignment="1">
      <alignment horizontal="left" vertical="center"/>
    </xf>
    <xf numFmtId="165" fontId="14" fillId="14" borderId="2" xfId="0" applyNumberFormat="1" applyFont="1" applyFill="1" applyBorder="1" applyAlignment="1">
      <alignment horizontal="left" vertical="center"/>
    </xf>
    <xf numFmtId="0" fontId="8" fillId="2" borderId="0" xfId="0" applyFont="1" applyFill="1" applyAlignment="1">
      <alignment horizontal="center"/>
    </xf>
    <xf numFmtId="0" fontId="23" fillId="3" borderId="0" xfId="1" applyFont="1" applyBorder="1" applyAlignment="1">
      <alignment horizontal="left" wrapText="1"/>
    </xf>
    <xf numFmtId="0" fontId="23" fillId="3" borderId="0" xfId="1" applyFont="1" applyBorder="1" applyAlignment="1">
      <alignment horizontal="center" wrapText="1"/>
    </xf>
    <xf numFmtId="0" fontId="22" fillId="17" borderId="0" xfId="6" applyFont="1" applyFill="1"/>
    <xf numFmtId="0" fontId="26" fillId="12" borderId="15" xfId="0" applyFont="1" applyFill="1" applyBorder="1" applyAlignment="1">
      <alignment wrapText="1"/>
    </xf>
    <xf numFmtId="0" fontId="26" fillId="12" borderId="5" xfId="0" applyFont="1" applyFill="1" applyBorder="1" applyAlignment="1">
      <alignment wrapText="1"/>
    </xf>
    <xf numFmtId="0" fontId="26" fillId="12" borderId="16" xfId="0" applyFont="1" applyFill="1" applyBorder="1" applyAlignment="1">
      <alignment wrapText="1"/>
    </xf>
    <xf numFmtId="0" fontId="8" fillId="12" borderId="17" xfId="0" applyFont="1" applyFill="1" applyBorder="1" applyAlignment="1">
      <alignment wrapText="1"/>
    </xf>
    <xf numFmtId="0" fontId="8" fillId="12" borderId="6" xfId="0" applyFont="1" applyFill="1" applyBorder="1" applyAlignment="1">
      <alignment wrapText="1"/>
    </xf>
    <xf numFmtId="165" fontId="14" fillId="14" borderId="15" xfId="0" applyNumberFormat="1" applyFont="1" applyFill="1" applyBorder="1" applyAlignment="1">
      <alignment horizontal="center" vertical="center"/>
    </xf>
    <xf numFmtId="165" fontId="14" fillId="14" borderId="5" xfId="0" applyNumberFormat="1" applyFont="1" applyFill="1" applyBorder="1" applyAlignment="1">
      <alignment horizontal="center" vertical="center"/>
    </xf>
    <xf numFmtId="165" fontId="14" fillId="14" borderId="16" xfId="0" applyNumberFormat="1" applyFont="1" applyFill="1" applyBorder="1" applyAlignment="1">
      <alignment horizontal="center" vertical="center"/>
    </xf>
    <xf numFmtId="0" fontId="8" fillId="12" borderId="0" xfId="0" applyFont="1" applyFill="1" applyAlignment="1">
      <alignment wrapText="1"/>
    </xf>
    <xf numFmtId="1" fontId="25" fillId="15" borderId="0" xfId="0" applyNumberFormat="1" applyFont="1" applyFill="1"/>
    <xf numFmtId="1" fontId="25" fillId="13" borderId="0" xfId="8" applyNumberFormat="1" applyFont="1" applyFill="1"/>
    <xf numFmtId="0" fontId="9" fillId="0" borderId="0" xfId="9"/>
    <xf numFmtId="166" fontId="10" fillId="0" borderId="0" xfId="9" applyNumberFormat="1" applyFont="1"/>
    <xf numFmtId="166" fontId="9" fillId="0" borderId="0" xfId="9" applyNumberFormat="1"/>
    <xf numFmtId="166" fontId="8" fillId="2" borderId="1" xfId="9" applyNumberFormat="1" applyFont="1" applyFill="1" applyBorder="1" applyAlignment="1">
      <alignment horizontal="left"/>
    </xf>
    <xf numFmtId="166" fontId="8" fillId="2" borderId="4" xfId="9" applyNumberFormat="1" applyFont="1" applyFill="1" applyBorder="1" applyAlignment="1">
      <alignment horizontal="left"/>
    </xf>
    <xf numFmtId="166" fontId="23" fillId="3" borderId="3" xfId="23" applyNumberFormat="1" applyFont="1" applyBorder="1" applyAlignment="1">
      <alignment horizontal="left" wrapText="1"/>
    </xf>
    <xf numFmtId="0" fontId="25" fillId="0" borderId="0" xfId="9" applyFont="1"/>
    <xf numFmtId="0" fontId="8" fillId="2" borderId="1" xfId="11" applyFont="1" applyFill="1" applyBorder="1" applyAlignment="1">
      <alignment horizontal="center" vertical="center" wrapText="1"/>
    </xf>
    <xf numFmtId="0" fontId="8" fillId="2" borderId="1" xfId="12" applyFont="1" applyFill="1" applyBorder="1" applyAlignment="1">
      <alignment horizontal="center" vertical="center" wrapText="1"/>
    </xf>
    <xf numFmtId="0" fontId="8" fillId="2" borderId="0" xfId="11" applyFont="1" applyFill="1" applyAlignment="1">
      <alignment horizontal="center" vertical="center" wrapText="1"/>
    </xf>
    <xf numFmtId="0" fontId="23" fillId="3" borderId="1" xfId="23" applyFont="1" applyBorder="1" applyAlignment="1">
      <alignment horizontal="left" wrapText="1"/>
    </xf>
    <xf numFmtId="0" fontId="23" fillId="3" borderId="4" xfId="23" applyFont="1" applyBorder="1" applyAlignment="1">
      <alignment horizontal="left" wrapText="1"/>
    </xf>
    <xf numFmtId="0" fontId="23" fillId="3" borderId="0" xfId="23" applyFont="1" applyBorder="1" applyAlignment="1">
      <alignment horizontal="left" wrapText="1"/>
    </xf>
    <xf numFmtId="0" fontId="23" fillId="3" borderId="3" xfId="23" applyFont="1" applyBorder="1" applyAlignment="1">
      <alignment horizontal="left" wrapText="1"/>
    </xf>
    <xf numFmtId="0" fontId="23" fillId="3" borderId="3" xfId="23" applyFont="1" applyBorder="1" applyAlignment="1">
      <alignment horizontal="center" wrapText="1"/>
    </xf>
    <xf numFmtId="0" fontId="23" fillId="3" borderId="9" xfId="23" applyFont="1" applyBorder="1" applyAlignment="1">
      <alignment horizontal="center" wrapText="1"/>
    </xf>
    <xf numFmtId="0" fontId="23" fillId="3" borderId="0" xfId="23" applyFont="1" applyBorder="1" applyAlignment="1">
      <alignment horizontal="center" wrapText="1"/>
    </xf>
    <xf numFmtId="9" fontId="9" fillId="15" borderId="0" xfId="24" applyFont="1" applyFill="1"/>
    <xf numFmtId="2" fontId="9" fillId="13" borderId="0" xfId="9" applyNumberFormat="1" applyFill="1"/>
    <xf numFmtId="0" fontId="9" fillId="13" borderId="0" xfId="9" applyFill="1"/>
    <xf numFmtId="2" fontId="9" fillId="0" borderId="0" xfId="9" applyNumberFormat="1"/>
    <xf numFmtId="9" fontId="9" fillId="0" borderId="0" xfId="9" applyNumberFormat="1"/>
    <xf numFmtId="9" fontId="0" fillId="0" borderId="0" xfId="24" applyFont="1"/>
    <xf numFmtId="0" fontId="9" fillId="15" borderId="0" xfId="9" applyFill="1"/>
    <xf numFmtId="9" fontId="0" fillId="0" borderId="0" xfId="16" applyFont="1"/>
    <xf numFmtId="0" fontId="9" fillId="17" borderId="0" xfId="9" applyFill="1"/>
    <xf numFmtId="166" fontId="9" fillId="17" borderId="0" xfId="9" applyNumberFormat="1" applyFill="1"/>
    <xf numFmtId="9" fontId="0" fillId="0" borderId="0" xfId="0" applyNumberFormat="1"/>
    <xf numFmtId="2" fontId="9" fillId="15" borderId="0" xfId="0" applyNumberFormat="1" applyFont="1" applyFill="1"/>
    <xf numFmtId="0" fontId="8" fillId="2" borderId="1" xfId="0" applyFont="1" applyFill="1" applyBorder="1" applyAlignment="1">
      <alignment vertical="center"/>
    </xf>
    <xf numFmtId="0" fontId="10" fillId="0" borderId="0" xfId="0" applyFont="1"/>
    <xf numFmtId="0" fontId="23" fillId="3" borderId="3" xfId="31" applyFont="1" applyBorder="1" applyAlignment="1">
      <alignment horizontal="left" wrapText="1"/>
    </xf>
    <xf numFmtId="0" fontId="23" fillId="3" borderId="1" xfId="31" applyFont="1" applyBorder="1" applyAlignment="1">
      <alignment horizontal="left" wrapText="1"/>
    </xf>
    <xf numFmtId="0" fontId="9" fillId="0" borderId="18" xfId="0" applyFont="1" applyBorder="1"/>
    <xf numFmtId="0" fontId="0" fillId="13" borderId="0" xfId="0" applyFill="1"/>
    <xf numFmtId="1" fontId="9" fillId="15" borderId="0" xfId="8" applyNumberFormat="1" applyFont="1" applyFill="1"/>
    <xf numFmtId="0" fontId="8" fillId="0" borderId="0" xfId="0" applyFont="1" applyAlignment="1">
      <alignment vertical="center"/>
    </xf>
    <xf numFmtId="0" fontId="23" fillId="0" borderId="0" xfId="31" applyFont="1" applyFill="1" applyBorder="1" applyAlignment="1">
      <alignment horizontal="left" wrapText="1"/>
    </xf>
    <xf numFmtId="1" fontId="20" fillId="8" borderId="10" xfId="7" applyNumberFormat="1"/>
    <xf numFmtId="0" fontId="23" fillId="3" borderId="1" xfId="1" applyFont="1" applyBorder="1" applyAlignment="1">
      <alignment horizontal="left" wrapText="1"/>
    </xf>
    <xf numFmtId="2" fontId="0" fillId="15" borderId="0" xfId="0" applyNumberFormat="1" applyFill="1"/>
    <xf numFmtId="0" fontId="9" fillId="0" borderId="2" xfId="9" applyBorder="1"/>
    <xf numFmtId="2" fontId="0" fillId="15" borderId="2" xfId="0" applyNumberFormat="1" applyFill="1" applyBorder="1"/>
    <xf numFmtId="0" fontId="25" fillId="13" borderId="0" xfId="9" applyFont="1" applyFill="1"/>
    <xf numFmtId="0" fontId="29" fillId="18" borderId="0" xfId="0" quotePrefix="1" applyFont="1" applyFill="1"/>
    <xf numFmtId="0" fontId="29" fillId="0" borderId="0" xfId="0" quotePrefix="1" applyFont="1"/>
    <xf numFmtId="0" fontId="10" fillId="0" borderId="0" xfId="0" applyFont="1" applyAlignment="1">
      <alignment horizontal="left"/>
    </xf>
    <xf numFmtId="0" fontId="29" fillId="0" borderId="0" xfId="0" applyFont="1"/>
    <xf numFmtId="0" fontId="8" fillId="2" borderId="3" xfId="11" applyFont="1" applyFill="1" applyBorder="1" applyAlignment="1">
      <alignment horizontal="left" vertical="center"/>
    </xf>
    <xf numFmtId="0" fontId="23" fillId="3" borderId="3" xfId="33" applyFont="1" applyBorder="1" applyAlignment="1">
      <alignment horizontal="left" wrapText="1"/>
    </xf>
    <xf numFmtId="0" fontId="8" fillId="0" borderId="0" xfId="11" applyFont="1" applyAlignment="1">
      <alignment horizontal="left" vertical="center"/>
    </xf>
    <xf numFmtId="2" fontId="0" fillId="13" borderId="0" xfId="0" applyNumberFormat="1" applyFill="1"/>
    <xf numFmtId="9" fontId="9" fillId="15" borderId="0" xfId="16" applyFont="1" applyFill="1"/>
    <xf numFmtId="0" fontId="6" fillId="0" borderId="18" xfId="0" applyFont="1" applyBorder="1"/>
    <xf numFmtId="0" fontId="26" fillId="19" borderId="0" xfId="0" applyFont="1" applyFill="1"/>
    <xf numFmtId="165" fontId="14" fillId="19" borderId="8" xfId="0" applyNumberFormat="1" applyFont="1" applyFill="1" applyBorder="1" applyAlignment="1">
      <alignment horizontal="left" vertical="center"/>
    </xf>
    <xf numFmtId="1" fontId="0" fillId="19" borderId="0" xfId="0" applyNumberFormat="1" applyFill="1"/>
    <xf numFmtId="1" fontId="8" fillId="19" borderId="0" xfId="0" applyNumberFormat="1" applyFont="1" applyFill="1"/>
    <xf numFmtId="0" fontId="0" fillId="19" borderId="0" xfId="0" applyFill="1"/>
    <xf numFmtId="0" fontId="8" fillId="2" borderId="0" xfId="0" applyFont="1" applyFill="1" applyAlignment="1">
      <alignment vertical="center"/>
    </xf>
    <xf numFmtId="0" fontId="23" fillId="3" borderId="0" xfId="31" applyFont="1" applyBorder="1" applyAlignment="1">
      <alignment horizontal="left" wrapText="1"/>
    </xf>
    <xf numFmtId="0" fontId="28" fillId="0" borderId="0" xfId="0" applyFont="1"/>
    <xf numFmtId="0" fontId="28" fillId="14" borderId="0" xfId="0" applyFont="1" applyFill="1" applyAlignment="1">
      <alignment wrapText="1"/>
    </xf>
    <xf numFmtId="0" fontId="0" fillId="12" borderId="0" xfId="0" applyFill="1"/>
    <xf numFmtId="9" fontId="0" fillId="12" borderId="0" xfId="0" applyNumberFormat="1" applyFill="1"/>
    <xf numFmtId="10" fontId="0" fillId="12" borderId="0" xfId="0" applyNumberFormat="1" applyFill="1"/>
    <xf numFmtId="0" fontId="8" fillId="20" borderId="0" xfId="0" applyFont="1" applyFill="1"/>
    <xf numFmtId="166" fontId="6" fillId="0" borderId="0" xfId="0" applyNumberFormat="1" applyFont="1"/>
    <xf numFmtId="0" fontId="6" fillId="0" borderId="0" xfId="0" applyFont="1"/>
    <xf numFmtId="0" fontId="25" fillId="0" borderId="0" xfId="0" applyFont="1"/>
    <xf numFmtId="166" fontId="25" fillId="0" borderId="0" xfId="0" applyNumberFormat="1" applyFont="1"/>
    <xf numFmtId="166" fontId="25" fillId="0" borderId="0" xfId="0" applyNumberFormat="1" applyFont="1" applyAlignment="1">
      <alignment wrapText="1"/>
    </xf>
    <xf numFmtId="0" fontId="25" fillId="17" borderId="0" xfId="9" applyFont="1" applyFill="1"/>
    <xf numFmtId="166" fontId="25" fillId="0" borderId="0" xfId="9" applyNumberFormat="1" applyFont="1"/>
    <xf numFmtId="2" fontId="25" fillId="0" borderId="0" xfId="9" applyNumberFormat="1" applyFont="1"/>
    <xf numFmtId="9" fontId="25" fillId="17" borderId="0" xfId="24" applyFont="1" applyFill="1"/>
    <xf numFmtId="0" fontId="24" fillId="20" borderId="0" xfId="0" applyFont="1" applyFill="1"/>
    <xf numFmtId="0" fontId="6" fillId="0" borderId="0" xfId="9" applyFont="1"/>
    <xf numFmtId="166" fontId="6" fillId="0" borderId="0" xfId="9" applyNumberFormat="1" applyFont="1"/>
    <xf numFmtId="2" fontId="25" fillId="13" borderId="0" xfId="0" applyNumberFormat="1" applyFont="1" applyFill="1"/>
    <xf numFmtId="2" fontId="25" fillId="15" borderId="0" xfId="0" applyNumberFormat="1" applyFont="1" applyFill="1"/>
    <xf numFmtId="0" fontId="30" fillId="0" borderId="0" xfId="0" applyFont="1"/>
    <xf numFmtId="166" fontId="30" fillId="0" borderId="0" xfId="0" applyNumberFormat="1" applyFont="1"/>
    <xf numFmtId="166" fontId="6" fillId="0" borderId="0" xfId="0" applyNumberFormat="1" applyFont="1" applyAlignment="1">
      <alignment wrapText="1"/>
    </xf>
    <xf numFmtId="166" fontId="30" fillId="0" borderId="0" xfId="0" applyNumberFormat="1" applyFont="1" applyAlignment="1">
      <alignment wrapText="1"/>
    </xf>
    <xf numFmtId="166" fontId="23" fillId="3" borderId="0" xfId="23" applyNumberFormat="1" applyFont="1" applyBorder="1" applyAlignment="1">
      <alignment horizontal="left" wrapText="1"/>
    </xf>
    <xf numFmtId="166" fontId="31" fillId="0" borderId="0" xfId="0" applyNumberFormat="1" applyFont="1"/>
    <xf numFmtId="0" fontId="33" fillId="0" borderId="0" xfId="40" applyFont="1"/>
    <xf numFmtId="0" fontId="1" fillId="0" borderId="0" xfId="40"/>
    <xf numFmtId="0" fontId="1" fillId="25" borderId="0" xfId="38"/>
    <xf numFmtId="0" fontId="35" fillId="9" borderId="0" xfId="41"/>
    <xf numFmtId="0" fontId="1" fillId="21" borderId="0" xfId="34"/>
    <xf numFmtId="0" fontId="36" fillId="0" borderId="0" xfId="40" applyFont="1" applyAlignment="1">
      <alignment vertical="center"/>
    </xf>
    <xf numFmtId="0" fontId="38" fillId="0" borderId="22" xfId="40" applyFont="1" applyBorder="1" applyAlignment="1">
      <alignment vertical="center"/>
    </xf>
    <xf numFmtId="0" fontId="38" fillId="0" borderId="23" xfId="40" applyFont="1" applyBorder="1" applyAlignment="1">
      <alignment horizontal="justify" vertical="center" wrapText="1"/>
    </xf>
    <xf numFmtId="0" fontId="1" fillId="25" borderId="23" xfId="38" applyBorder="1" applyAlignment="1">
      <alignment horizontal="justify" vertical="center" wrapText="1"/>
    </xf>
    <xf numFmtId="0" fontId="35" fillId="9" borderId="23" xfId="41" applyBorder="1" applyAlignment="1">
      <alignment horizontal="justify" vertical="center" wrapText="1"/>
    </xf>
    <xf numFmtId="0" fontId="1" fillId="21" borderId="23" xfId="34" applyBorder="1" applyAlignment="1">
      <alignment horizontal="justify" vertical="center" wrapText="1"/>
    </xf>
    <xf numFmtId="0" fontId="38" fillId="0" borderId="24" xfId="40" applyFont="1" applyBorder="1" applyAlignment="1">
      <alignment vertical="center"/>
    </xf>
    <xf numFmtId="0" fontId="38" fillId="0" borderId="23" xfId="40" applyFont="1" applyBorder="1" applyAlignment="1">
      <alignment horizontal="right" vertical="center"/>
    </xf>
    <xf numFmtId="0" fontId="40" fillId="0" borderId="23" xfId="40" applyFont="1" applyBorder="1" applyAlignment="1">
      <alignment horizontal="right" vertical="center"/>
    </xf>
    <xf numFmtId="0" fontId="38" fillId="0" borderId="26" xfId="40" applyFont="1" applyBorder="1" applyAlignment="1">
      <alignment horizontal="justify" vertical="center" wrapText="1"/>
    </xf>
    <xf numFmtId="0" fontId="38" fillId="0" borderId="23" xfId="40" applyFont="1" applyBorder="1" applyAlignment="1">
      <alignment vertical="center" wrapText="1"/>
    </xf>
    <xf numFmtId="0" fontId="1" fillId="25" borderId="23" xfId="38" applyBorder="1" applyAlignment="1">
      <alignment vertical="center" wrapText="1"/>
    </xf>
    <xf numFmtId="0" fontId="35" fillId="9" borderId="23" xfId="41" applyBorder="1" applyAlignment="1">
      <alignment vertical="center" wrapText="1"/>
    </xf>
    <xf numFmtId="0" fontId="1" fillId="21" borderId="23" xfId="34" applyBorder="1" applyAlignment="1">
      <alignment vertical="center" wrapText="1"/>
    </xf>
    <xf numFmtId="0" fontId="38" fillId="0" borderId="23" xfId="40" applyFont="1" applyBorder="1" applyAlignment="1">
      <alignment vertical="center"/>
    </xf>
    <xf numFmtId="0" fontId="1" fillId="25" borderId="23" xfId="38" applyBorder="1" applyAlignment="1">
      <alignment vertical="center"/>
    </xf>
    <xf numFmtId="0" fontId="35" fillId="9" borderId="23" xfId="41" applyBorder="1" applyAlignment="1">
      <alignment vertical="center"/>
    </xf>
    <xf numFmtId="0" fontId="1" fillId="21" borderId="23" xfId="34" applyBorder="1" applyAlignment="1">
      <alignment vertical="center"/>
    </xf>
    <xf numFmtId="0" fontId="19" fillId="7" borderId="0" xfId="6"/>
    <xf numFmtId="167" fontId="17" fillId="5" borderId="0" xfId="3" applyNumberFormat="1"/>
    <xf numFmtId="0" fontId="17" fillId="26" borderId="0" xfId="39"/>
    <xf numFmtId="167" fontId="17" fillId="26" borderId="0" xfId="39" applyNumberFormat="1"/>
    <xf numFmtId="0" fontId="1" fillId="22" borderId="0" xfId="35"/>
    <xf numFmtId="9" fontId="1" fillId="22" borderId="0" xfId="35" applyNumberFormat="1"/>
    <xf numFmtId="9" fontId="0" fillId="0" borderId="0" xfId="42" applyFont="1"/>
    <xf numFmtId="9" fontId="1" fillId="25" borderId="0" xfId="38" applyNumberFormat="1"/>
    <xf numFmtId="0" fontId="1" fillId="27" borderId="0" xfId="40" applyFill="1"/>
    <xf numFmtId="9" fontId="0" fillId="27" borderId="0" xfId="42" applyFont="1" applyFill="1"/>
    <xf numFmtId="0" fontId="41" fillId="0" borderId="0" xfId="40" applyFont="1"/>
    <xf numFmtId="0" fontId="41" fillId="27" borderId="0" xfId="40" applyFont="1" applyFill="1"/>
    <xf numFmtId="2" fontId="41" fillId="27" borderId="0" xfId="42" applyNumberFormat="1" applyFont="1" applyFill="1"/>
    <xf numFmtId="9" fontId="35" fillId="9" borderId="0" xfId="41" applyNumberFormat="1"/>
    <xf numFmtId="9" fontId="41" fillId="0" borderId="0" xfId="42" applyFont="1"/>
    <xf numFmtId="2" fontId="41" fillId="0" borderId="0" xfId="42" applyNumberFormat="1" applyFont="1"/>
    <xf numFmtId="168" fontId="0" fillId="0" borderId="0" xfId="42" applyNumberFormat="1" applyFont="1"/>
    <xf numFmtId="0" fontId="1" fillId="23" borderId="0" xfId="36"/>
    <xf numFmtId="167" fontId="1" fillId="0" borderId="0" xfId="40" applyNumberFormat="1"/>
    <xf numFmtId="167" fontId="38" fillId="0" borderId="0" xfId="40" applyNumberFormat="1" applyFont="1"/>
    <xf numFmtId="0" fontId="38" fillId="0" borderId="0" xfId="40" applyFont="1"/>
    <xf numFmtId="0" fontId="42" fillId="0" borderId="0" xfId="40" applyFont="1"/>
    <xf numFmtId="0" fontId="0" fillId="25" borderId="0" xfId="38" applyFont="1" applyAlignment="1">
      <alignment wrapText="1"/>
    </xf>
    <xf numFmtId="0" fontId="1" fillId="25" borderId="0" xfId="38" applyAlignment="1">
      <alignment wrapText="1"/>
    </xf>
    <xf numFmtId="169" fontId="32" fillId="0" borderId="0" xfId="42" applyNumberFormat="1" applyFont="1"/>
    <xf numFmtId="167" fontId="32" fillId="0" borderId="0" xfId="40" applyNumberFormat="1" applyFont="1"/>
    <xf numFmtId="167" fontId="32" fillId="25" borderId="0" xfId="38" applyNumberFormat="1" applyFont="1"/>
    <xf numFmtId="167" fontId="32" fillId="9" borderId="0" xfId="41" applyNumberFormat="1" applyFont="1"/>
    <xf numFmtId="167" fontId="32" fillId="21" borderId="0" xfId="34" applyNumberFormat="1" applyFont="1"/>
    <xf numFmtId="0" fontId="1" fillId="28" borderId="0" xfId="37" applyFill="1"/>
    <xf numFmtId="167" fontId="1" fillId="28" borderId="0" xfId="37" applyNumberFormat="1" applyFill="1"/>
    <xf numFmtId="0" fontId="1" fillId="29" borderId="0" xfId="40" applyFill="1"/>
    <xf numFmtId="167" fontId="1" fillId="29" borderId="0" xfId="40" applyNumberFormat="1" applyFill="1"/>
    <xf numFmtId="0" fontId="0" fillId="29" borderId="0" xfId="38" applyFont="1" applyFill="1"/>
    <xf numFmtId="0" fontId="0" fillId="29" borderId="0" xfId="41" applyFont="1" applyFill="1"/>
    <xf numFmtId="0" fontId="0" fillId="29" borderId="0" xfId="34" applyFont="1" applyFill="1"/>
    <xf numFmtId="0" fontId="1" fillId="30" borderId="0" xfId="40" applyFill="1"/>
    <xf numFmtId="167" fontId="1" fillId="30" borderId="0" xfId="40" applyNumberFormat="1" applyFill="1"/>
    <xf numFmtId="0" fontId="1" fillId="30" borderId="0" xfId="38" applyFill="1"/>
    <xf numFmtId="0" fontId="35" fillId="30" borderId="0" xfId="41" applyFill="1"/>
    <xf numFmtId="0" fontId="1" fillId="30" borderId="0" xfId="34" applyFill="1"/>
    <xf numFmtId="0" fontId="1" fillId="14" borderId="0" xfId="40" applyFill="1"/>
    <xf numFmtId="167" fontId="1" fillId="14" borderId="0" xfId="40" applyNumberFormat="1" applyFill="1"/>
    <xf numFmtId="0" fontId="1" fillId="14" borderId="0" xfId="38" applyFill="1"/>
    <xf numFmtId="0" fontId="35" fillId="14" borderId="0" xfId="41" applyFill="1"/>
    <xf numFmtId="0" fontId="1" fillId="14" borderId="0" xfId="34" applyFill="1"/>
    <xf numFmtId="167" fontId="35" fillId="9" borderId="0" xfId="41" applyNumberFormat="1"/>
    <xf numFmtId="9" fontId="0" fillId="30" borderId="0" xfId="42" applyFont="1" applyFill="1"/>
    <xf numFmtId="0" fontId="43" fillId="0" borderId="0" xfId="40" applyFont="1"/>
    <xf numFmtId="0" fontId="1" fillId="0" borderId="0" xfId="40" applyAlignment="1">
      <alignment wrapText="1"/>
    </xf>
    <xf numFmtId="9" fontId="1" fillId="0" borderId="0" xfId="40" applyNumberFormat="1"/>
    <xf numFmtId="0" fontId="1" fillId="0" borderId="0" xfId="40" applyAlignment="1">
      <alignment horizontal="left"/>
    </xf>
    <xf numFmtId="0" fontId="0" fillId="0" borderId="0" xfId="0" applyAlignment="1">
      <alignment horizontal="center"/>
    </xf>
    <xf numFmtId="170" fontId="0" fillId="0" borderId="0" xfId="16" applyNumberFormat="1" applyFont="1"/>
    <xf numFmtId="0" fontId="8" fillId="0" borderId="0" xfId="0" applyFont="1" applyAlignment="1">
      <alignment horizontal="center"/>
    </xf>
    <xf numFmtId="0" fontId="44" fillId="0" borderId="0" xfId="0" applyFont="1"/>
    <xf numFmtId="0" fontId="46" fillId="0" borderId="0" xfId="0" applyFont="1"/>
    <xf numFmtId="0" fontId="39" fillId="0" borderId="19" xfId="40" applyFont="1" applyBorder="1" applyAlignment="1">
      <alignment horizontal="justify" vertical="center" wrapText="1"/>
    </xf>
    <xf numFmtId="0" fontId="39" fillId="0" borderId="20" xfId="40" applyFont="1" applyBorder="1" applyAlignment="1">
      <alignment horizontal="justify" vertical="center" wrapText="1"/>
    </xf>
    <xf numFmtId="0" fontId="39" fillId="0" borderId="21" xfId="40" applyFont="1" applyBorder="1" applyAlignment="1">
      <alignment horizontal="justify" vertical="center" wrapText="1"/>
    </xf>
    <xf numFmtId="0" fontId="38" fillId="0" borderId="19" xfId="40" applyFont="1" applyBorder="1" applyAlignment="1">
      <alignment horizontal="justify" vertical="center" wrapText="1"/>
    </xf>
    <xf numFmtId="0" fontId="38" fillId="0" borderId="20" xfId="40" applyFont="1" applyBorder="1" applyAlignment="1">
      <alignment horizontal="justify" vertical="center" wrapText="1"/>
    </xf>
    <xf numFmtId="0" fontId="38" fillId="0" borderId="21" xfId="40" applyFont="1" applyBorder="1" applyAlignment="1">
      <alignment horizontal="justify" vertical="center" wrapText="1"/>
    </xf>
    <xf numFmtId="0" fontId="38" fillId="0" borderId="19" xfId="40" applyFont="1" applyBorder="1" applyAlignment="1">
      <alignment horizontal="center" vertical="center"/>
    </xf>
    <xf numFmtId="0" fontId="38" fillId="0" borderId="20" xfId="40" applyFont="1" applyBorder="1" applyAlignment="1">
      <alignment horizontal="center" vertical="center"/>
    </xf>
    <xf numFmtId="0" fontId="38" fillId="0" borderId="21" xfId="40" applyFont="1" applyBorder="1" applyAlignment="1">
      <alignment horizontal="center" vertical="center"/>
    </xf>
    <xf numFmtId="0" fontId="38" fillId="0" borderId="25" xfId="40" applyFont="1" applyBorder="1" applyAlignment="1">
      <alignment horizontal="justify" vertical="center" wrapText="1"/>
    </xf>
    <xf numFmtId="0" fontId="38" fillId="0" borderId="27" xfId="40" applyFont="1" applyBorder="1" applyAlignment="1">
      <alignment horizontal="justify" vertical="center" wrapText="1"/>
    </xf>
    <xf numFmtId="0" fontId="38" fillId="0" borderId="24" xfId="40" applyFont="1" applyBorder="1" applyAlignment="1">
      <alignment horizontal="justify" vertical="center" wrapText="1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3">
    <cellStyle name="20% - Accent5" xfId="1" builtinId="46"/>
    <cellStyle name="20% - Accent5 2" xfId="21" xr:uid="{E1B1E490-7605-42BA-88C1-54B79AE47809}"/>
    <cellStyle name="20% - Accent5 2 2" xfId="31" xr:uid="{9A77BCA1-6431-4844-B2C6-C94657613BD6}"/>
    <cellStyle name="20% - Accent5 3" xfId="23" xr:uid="{DA259BB9-02EC-43FA-87ED-DF1C9674376E}"/>
    <cellStyle name="20% - Accent5 3 2" xfId="32" xr:uid="{11218C35-6A74-4BF8-9F7B-075BB6A7712F}"/>
    <cellStyle name="20% - Accent5 4" xfId="26" xr:uid="{ABDC135E-9A4A-4078-8504-7FAED0F441DB}"/>
    <cellStyle name="20% - Accent5 5" xfId="33" xr:uid="{CC4422F1-4577-475D-9062-5705E5BAA574}"/>
    <cellStyle name="40% - Accent1" xfId="34" builtinId="31"/>
    <cellStyle name="40% - Accent2" xfId="36" builtinId="35"/>
    <cellStyle name="40% - Accent3" xfId="37" builtinId="39"/>
    <cellStyle name="40% - Accent4" xfId="38" builtinId="43"/>
    <cellStyle name="60% - Accent1" xfId="35" builtinId="32"/>
    <cellStyle name="60% - Accent2" xfId="2" builtinId="36"/>
    <cellStyle name="Accent2" xfId="3" builtinId="33"/>
    <cellStyle name="Accent6" xfId="39" builtinId="49"/>
    <cellStyle name="Calculation" xfId="4" builtinId="22"/>
    <cellStyle name="Comma 2" xfId="5" xr:uid="{00000000-0005-0000-0000-000004000000}"/>
    <cellStyle name="Comma 2 2" xfId="27" xr:uid="{0F81714B-A75F-4A57-A4C6-D6B684BC4CCE}"/>
    <cellStyle name="Good" xfId="6" builtinId="26"/>
    <cellStyle name="Input" xfId="7" builtinId="20"/>
    <cellStyle name="Neutral" xfId="8" builtinId="28"/>
    <cellStyle name="Neutral 2" xfId="41" xr:uid="{A3AE8485-95FC-41BA-AE1C-0A2FC5CEA2DA}"/>
    <cellStyle name="Normal" xfId="0" builtinId="0"/>
    <cellStyle name="Normal 10" xfId="9" xr:uid="{00000000-0005-0000-0000-000009000000}"/>
    <cellStyle name="Normal 2" xfId="10" xr:uid="{00000000-0005-0000-0000-00000A000000}"/>
    <cellStyle name="Normal 3" xfId="40" xr:uid="{CEDDD2B3-6AFE-4814-8666-E4C38182B461}"/>
    <cellStyle name="Normal 4" xfId="11" xr:uid="{00000000-0005-0000-0000-00000B000000}"/>
    <cellStyle name="Normal 4 2" xfId="12" xr:uid="{00000000-0005-0000-0000-00000C000000}"/>
    <cellStyle name="Normal 8" xfId="13" xr:uid="{00000000-0005-0000-0000-00000D000000}"/>
    <cellStyle name="Normal 8 2" xfId="28" xr:uid="{C94D68A9-0F9F-49C7-A496-97D6E4CFF1B0}"/>
    <cellStyle name="Normal 9 2" xfId="14" xr:uid="{00000000-0005-0000-0000-00000E000000}"/>
    <cellStyle name="Normale_B2020" xfId="15" xr:uid="{00000000-0005-0000-0000-00000F000000}"/>
    <cellStyle name="Per cent 2" xfId="24" xr:uid="{2C564A4B-D800-4EE4-B939-9255D7A664BB}"/>
    <cellStyle name="Per cent 3" xfId="42" xr:uid="{5844D0E0-44CC-4526-80B6-F2A16EB52199}"/>
    <cellStyle name="Percent" xfId="16" builtinId="5"/>
    <cellStyle name="Percent 2" xfId="17" xr:uid="{00000000-0005-0000-0000-000011000000}"/>
    <cellStyle name="Percent 3" xfId="18" xr:uid="{00000000-0005-0000-0000-000012000000}"/>
    <cellStyle name="Percent 3 2" xfId="29" xr:uid="{E6B199C5-EFD9-4EA1-A159-C95FD8F6F260}"/>
    <cellStyle name="Percent 4" xfId="19" xr:uid="{00000000-0005-0000-0000-000013000000}"/>
    <cellStyle name="Percent 4 2" xfId="30" xr:uid="{79737ADA-DDDA-4EF8-B7E2-486C4D5F412E}"/>
    <cellStyle name="Percent 6" xfId="22" xr:uid="{1EB895F0-BE60-4B32-9DA6-CE069C17C0AF}"/>
    <cellStyle name="Percent 6 2" xfId="25" xr:uid="{A427AE73-DCB2-44C3-B181-2DC8B589E0A8}"/>
    <cellStyle name="Standard_Sce_D_Extraction" xfId="20" xr:uid="{00000000-0005-0000-0000-000014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'Energybalance history'!$A$65</c:f>
              <c:strCache>
                <c:ptCount val="1"/>
                <c:pt idx="0">
                  <c:v>Total Industry Consumption in GWh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'Energybalance history'!$B$64:$Q$64</c:f>
              <c:numCache>
                <c:formatCode>General</c:formatCode>
                <c:ptCount val="1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6">
                  <c:v>2024</c:v>
                </c:pt>
                <c:pt idx="7">
                  <c:v>2028</c:v>
                </c:pt>
                <c:pt idx="8">
                  <c:v>2030</c:v>
                </c:pt>
                <c:pt idx="9">
                  <c:v>2032</c:v>
                </c:pt>
                <c:pt idx="10">
                  <c:v>2036</c:v>
                </c:pt>
                <c:pt idx="11">
                  <c:v>2040</c:v>
                </c:pt>
                <c:pt idx="12">
                  <c:v>2044</c:v>
                </c:pt>
                <c:pt idx="13">
                  <c:v>2048</c:v>
                </c:pt>
                <c:pt idx="14">
                  <c:v>2050</c:v>
                </c:pt>
                <c:pt idx="15">
                  <c:v>2052</c:v>
                </c:pt>
              </c:numCache>
            </c:numRef>
          </c:cat>
          <c:val>
            <c:numRef>
              <c:f>'Energybalance history'!$B$65:$Q$65</c:f>
              <c:numCache>
                <c:formatCode>0.0</c:formatCode>
                <c:ptCount val="16"/>
                <c:pt idx="0">
                  <c:v>19578.700555555555</c:v>
                </c:pt>
                <c:pt idx="1">
                  <c:v>17444.618333333336</c:v>
                </c:pt>
                <c:pt idx="2">
                  <c:v>19485.127222222221</c:v>
                </c:pt>
                <c:pt idx="3">
                  <c:v>22074.805555555551</c:v>
                </c:pt>
                <c:pt idx="4">
                  <c:v>22918.588888888888</c:v>
                </c:pt>
                <c:pt idx="5" formatCode="0.0000%">
                  <c:v>4.1408593708299968E-2</c:v>
                </c:pt>
                <c:pt idx="6">
                  <c:v>16173.841000000002</c:v>
                </c:pt>
                <c:pt idx="7">
                  <c:v>24462.542000000001</c:v>
                </c:pt>
                <c:pt idx="8">
                  <c:v>30530.494500000001</c:v>
                </c:pt>
                <c:pt idx="9">
                  <c:v>36598.447</c:v>
                </c:pt>
                <c:pt idx="10">
                  <c:v>54366.760999999999</c:v>
                </c:pt>
                <c:pt idx="11">
                  <c:v>80381.90800000001</c:v>
                </c:pt>
                <c:pt idx="12">
                  <c:v>118468.99500000001</c:v>
                </c:pt>
                <c:pt idx="13">
                  <c:v>174233.682</c:v>
                </c:pt>
                <c:pt idx="14">
                  <c:v>215055.56349999999</c:v>
                </c:pt>
                <c:pt idx="15">
                  <c:v>255877.44500000001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1-465A-A367-7D7165847BCE}"/>
            </c:ext>
          </c:extLst>
        </c:ser>
        <c:ser>
          <c:idx val="2"/>
          <c:order val="2"/>
          <c:tx>
            <c:strRef>
              <c:f>'Energybalance history'!$A$68</c:f>
              <c:strCache>
                <c:ptCount val="1"/>
                <c:pt idx="0">
                  <c:v>Manufacturing Electricity consumption in GWh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'Energybalance history'!$B$64:$Q$64</c:f>
              <c:numCache>
                <c:formatCode>General</c:formatCode>
                <c:ptCount val="16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6">
                  <c:v>2024</c:v>
                </c:pt>
                <c:pt idx="7">
                  <c:v>2028</c:v>
                </c:pt>
                <c:pt idx="8">
                  <c:v>2030</c:v>
                </c:pt>
                <c:pt idx="9">
                  <c:v>2032</c:v>
                </c:pt>
                <c:pt idx="10">
                  <c:v>2036</c:v>
                </c:pt>
                <c:pt idx="11">
                  <c:v>2040</c:v>
                </c:pt>
                <c:pt idx="12">
                  <c:v>2044</c:v>
                </c:pt>
                <c:pt idx="13">
                  <c:v>2048</c:v>
                </c:pt>
                <c:pt idx="14">
                  <c:v>2050</c:v>
                </c:pt>
                <c:pt idx="15">
                  <c:v>2052</c:v>
                </c:pt>
              </c:numCache>
            </c:numRef>
          </c:cat>
          <c:val>
            <c:numRef>
              <c:f>'Energybalance history'!$B$68:$Q$68</c:f>
              <c:numCache>
                <c:formatCode>0.0</c:formatCode>
                <c:ptCount val="16"/>
                <c:pt idx="0">
                  <c:v>2791.0050000000001</c:v>
                </c:pt>
                <c:pt idx="1">
                  <c:v>2430.2799722222217</c:v>
                </c:pt>
                <c:pt idx="2">
                  <c:v>2683.0269444444443</c:v>
                </c:pt>
                <c:pt idx="3">
                  <c:v>2861.5609722222221</c:v>
                </c:pt>
                <c:pt idx="4">
                  <c:v>3440.232361111111</c:v>
                </c:pt>
                <c:pt idx="5" formatCode="0.0000%">
                  <c:v>5.3675278227879542E-2</c:v>
                </c:pt>
                <c:pt idx="8">
                  <c:v>26790</c:v>
                </c:pt>
                <c:pt idx="9">
                  <c:v>4347.6775685872717</c:v>
                </c:pt>
                <c:pt idx="11">
                  <c:v>44555</c:v>
                </c:pt>
                <c:pt idx="12">
                  <c:v>7333.7353602111407</c:v>
                </c:pt>
                <c:pt idx="14">
                  <c:v>65835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D1-465A-A367-7D7165847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340591"/>
        <c:axId val="14343471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'Energybalance history'!$A$64</c15:sqref>
                        </c15:formulaRef>
                      </c:ext>
                    </c:extLst>
                    <c:strCache>
                      <c:ptCount val="1"/>
                      <c:pt idx="0">
                        <c:v>Year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'Energybalance history'!$B$64:$Q$64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2021</c:v>
                      </c:pt>
                      <c:pt idx="3">
                        <c:v>2022</c:v>
                      </c:pt>
                      <c:pt idx="4">
                        <c:v>2023</c:v>
                      </c:pt>
                      <c:pt idx="6">
                        <c:v>2024</c:v>
                      </c:pt>
                      <c:pt idx="7">
                        <c:v>2028</c:v>
                      </c:pt>
                      <c:pt idx="8">
                        <c:v>2030</c:v>
                      </c:pt>
                      <c:pt idx="9">
                        <c:v>2032</c:v>
                      </c:pt>
                      <c:pt idx="10">
                        <c:v>2036</c:v>
                      </c:pt>
                      <c:pt idx="11">
                        <c:v>2040</c:v>
                      </c:pt>
                      <c:pt idx="12">
                        <c:v>2044</c:v>
                      </c:pt>
                      <c:pt idx="13">
                        <c:v>2048</c:v>
                      </c:pt>
                      <c:pt idx="14">
                        <c:v>2050</c:v>
                      </c:pt>
                      <c:pt idx="15">
                        <c:v>2052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'Energybalance history'!$B$64:$Q$64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2019</c:v>
                      </c:pt>
                      <c:pt idx="1">
                        <c:v>2020</c:v>
                      </c:pt>
                      <c:pt idx="2">
                        <c:v>2021</c:v>
                      </c:pt>
                      <c:pt idx="3">
                        <c:v>2022</c:v>
                      </c:pt>
                      <c:pt idx="4">
                        <c:v>2023</c:v>
                      </c:pt>
                      <c:pt idx="6">
                        <c:v>2024</c:v>
                      </c:pt>
                      <c:pt idx="7">
                        <c:v>2028</c:v>
                      </c:pt>
                      <c:pt idx="8">
                        <c:v>2030</c:v>
                      </c:pt>
                      <c:pt idx="9">
                        <c:v>2032</c:v>
                      </c:pt>
                      <c:pt idx="10">
                        <c:v>2036</c:v>
                      </c:pt>
                      <c:pt idx="11">
                        <c:v>2040</c:v>
                      </c:pt>
                      <c:pt idx="12">
                        <c:v>2044</c:v>
                      </c:pt>
                      <c:pt idx="13">
                        <c:v>2048</c:v>
                      </c:pt>
                      <c:pt idx="14">
                        <c:v>2050</c:v>
                      </c:pt>
                      <c:pt idx="15">
                        <c:v>2052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2D1-465A-A367-7D7165847BCE}"/>
                  </c:ext>
                </c:extLst>
              </c15:ser>
            </c15:filteredBarSeries>
          </c:ext>
        </c:extLst>
      </c:barChart>
      <c:catAx>
        <c:axId val="14340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3471"/>
        <c:crosses val="autoZero"/>
        <c:auto val="1"/>
        <c:lblAlgn val="ctr"/>
        <c:lblOffset val="100"/>
        <c:noMultiLvlLbl val="0"/>
      </c:catAx>
      <c:valAx>
        <c:axId val="14343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40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512445</xdr:colOff>
      <xdr:row>73</xdr:row>
      <xdr:rowOff>78106</xdr:rowOff>
    </xdr:from>
    <xdr:to>
      <xdr:col>46</xdr:col>
      <xdr:colOff>304800</xdr:colOff>
      <xdr:row>108</xdr:row>
      <xdr:rowOff>12383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0FF7F3-9621-49ED-B557-030BF500C2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AFB711A-45C1-4FF1-8CBD-0948D7A0999A}"/>
            </a:ext>
          </a:extLst>
        </xdr:cNvPr>
        <xdr:cNvSpPr txBox="1"/>
      </xdr:nvSpPr>
      <xdr:spPr>
        <a:xfrm>
          <a:off x="5713517" y="4730115"/>
          <a:ext cx="6057922" cy="99814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71F3E18-E795-41B9-883B-BCDF19A7ED71}"/>
            </a:ext>
          </a:extLst>
        </xdr:cNvPr>
        <xdr:cNvSpPr txBox="1"/>
      </xdr:nvSpPr>
      <xdr:spPr>
        <a:xfrm>
          <a:off x="9239250" y="6094519"/>
          <a:ext cx="3335033" cy="724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699557</xdr:colOff>
      <xdr:row>27</xdr:row>
      <xdr:rowOff>11430</xdr:rowOff>
    </xdr:from>
    <xdr:to>
      <xdr:col>10</xdr:col>
      <xdr:colOff>699579</xdr:colOff>
      <xdr:row>32</xdr:row>
      <xdr:rowOff>148516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E54FD63-60E6-4767-B378-86CE61C6FB61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8</xdr:col>
      <xdr:colOff>0</xdr:colOff>
      <xdr:row>34</xdr:row>
      <xdr:rowOff>166159</xdr:rowOff>
    </xdr:from>
    <xdr:to>
      <xdr:col>12</xdr:col>
      <xdr:colOff>39383</xdr:colOff>
      <xdr:row>39</xdr:row>
      <xdr:rowOff>36819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90E7F65-5119-4650-B5C2-821A0202B5DC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</xdr:row>
      <xdr:rowOff>19050</xdr:rowOff>
    </xdr:from>
    <xdr:to>
      <xdr:col>2</xdr:col>
      <xdr:colOff>285750</xdr:colOff>
      <xdr:row>29</xdr:row>
      <xdr:rowOff>152400</xdr:rowOff>
    </xdr:to>
    <xdr:pic>
      <xdr:nvPicPr>
        <xdr:cNvPr id="55000" name="Picture 6">
          <a:extLst>
            <a:ext uri="{FF2B5EF4-FFF2-40B4-BE49-F238E27FC236}">
              <a16:creationId xmlns:a16="http://schemas.microsoft.com/office/drawing/2014/main" id="{A8EE95EE-CAF2-4CCA-BF63-C24FE5C724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127</xdr:row>
      <xdr:rowOff>9525</xdr:rowOff>
    </xdr:from>
    <xdr:to>
      <xdr:col>19</xdr:col>
      <xdr:colOff>66675</xdr:colOff>
      <xdr:row>138</xdr:row>
      <xdr:rowOff>133350</xdr:rowOff>
    </xdr:to>
    <xdr:pic>
      <xdr:nvPicPr>
        <xdr:cNvPr id="55001" name="Picture 8">
          <a:extLst>
            <a:ext uri="{FF2B5EF4-FFF2-40B4-BE49-F238E27FC236}">
              <a16:creationId xmlns:a16="http://schemas.microsoft.com/office/drawing/2014/main" id="{3E49606E-175D-4BCB-AAC7-477983161C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0774025"/>
          <a:ext cx="408622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6</xdr:col>
      <xdr:colOff>0</xdr:colOff>
      <xdr:row>48</xdr:row>
      <xdr:rowOff>0</xdr:rowOff>
    </xdr:from>
    <xdr:to>
      <xdr:col>10</xdr:col>
      <xdr:colOff>295275</xdr:colOff>
      <xdr:row>57</xdr:row>
      <xdr:rowOff>19050</xdr:rowOff>
    </xdr:to>
    <xdr:pic>
      <xdr:nvPicPr>
        <xdr:cNvPr id="55002" name="Picture 1">
          <a:extLst>
            <a:ext uri="{FF2B5EF4-FFF2-40B4-BE49-F238E27FC236}">
              <a16:creationId xmlns:a16="http://schemas.microsoft.com/office/drawing/2014/main" id="{17736024-F2ED-4ACF-9341-E965F9406A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24175" y="7972425"/>
          <a:ext cx="2733675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17</xdr:row>
      <xdr:rowOff>28575</xdr:rowOff>
    </xdr:from>
    <xdr:to>
      <xdr:col>8</xdr:col>
      <xdr:colOff>171450</xdr:colOff>
      <xdr:row>30</xdr:row>
      <xdr:rowOff>76200</xdr:rowOff>
    </xdr:to>
    <xdr:pic>
      <xdr:nvPicPr>
        <xdr:cNvPr id="55003" name="Picture 3">
          <a:extLst>
            <a:ext uri="{FF2B5EF4-FFF2-40B4-BE49-F238E27FC236}">
              <a16:creationId xmlns:a16="http://schemas.microsoft.com/office/drawing/2014/main" id="{A8E9394C-7511-41D1-9C2B-0F9B07025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14425" y="2981325"/>
          <a:ext cx="3200400" cy="2152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561975</xdr:colOff>
      <xdr:row>2</xdr:row>
      <xdr:rowOff>114300</xdr:rowOff>
    </xdr:from>
    <xdr:to>
      <xdr:col>8</xdr:col>
      <xdr:colOff>257175</xdr:colOff>
      <xdr:row>11</xdr:row>
      <xdr:rowOff>76200</xdr:rowOff>
    </xdr:to>
    <xdr:pic>
      <xdr:nvPicPr>
        <xdr:cNvPr id="55004" name="Picture 1">
          <a:extLst>
            <a:ext uri="{FF2B5EF4-FFF2-40B4-BE49-F238E27FC236}">
              <a16:creationId xmlns:a16="http://schemas.microsoft.com/office/drawing/2014/main" id="{8DD8EDA5-CAB9-4317-A46E-C293D1899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57350" y="504825"/>
          <a:ext cx="2743200" cy="1485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600075</xdr:colOff>
      <xdr:row>3</xdr:row>
      <xdr:rowOff>76200</xdr:rowOff>
    </xdr:from>
    <xdr:to>
      <xdr:col>16</xdr:col>
      <xdr:colOff>200025</xdr:colOff>
      <xdr:row>11</xdr:row>
      <xdr:rowOff>85725</xdr:rowOff>
    </xdr:to>
    <xdr:pic>
      <xdr:nvPicPr>
        <xdr:cNvPr id="55005" name="Picture 2">
          <a:extLst>
            <a:ext uri="{FF2B5EF4-FFF2-40B4-BE49-F238E27FC236}">
              <a16:creationId xmlns:a16="http://schemas.microsoft.com/office/drawing/2014/main" id="{D6060F44-F29C-4C89-9B35-19CF51A915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53050" y="695325"/>
          <a:ext cx="3457575" cy="1304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129540</xdr:colOff>
      <xdr:row>40</xdr:row>
      <xdr:rowOff>137160</xdr:rowOff>
    </xdr:from>
    <xdr:to>
      <xdr:col>15</xdr:col>
      <xdr:colOff>133299</xdr:colOff>
      <xdr:row>49</xdr:row>
      <xdr:rowOff>45720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C1532F4-B1A0-4E92-B4DB-A991FCA8A989}"/>
            </a:ext>
          </a:extLst>
        </xdr:cNvPr>
        <xdr:cNvSpPr txBox="1"/>
      </xdr:nvSpPr>
      <xdr:spPr>
        <a:xfrm>
          <a:off x="8305800" y="4511040"/>
          <a:ext cx="5116779" cy="14173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516548</xdr:colOff>
      <xdr:row>32</xdr:row>
      <xdr:rowOff>65943</xdr:rowOff>
    </xdr:from>
    <xdr:to>
      <xdr:col>16</xdr:col>
      <xdr:colOff>3771674</xdr:colOff>
      <xdr:row>37</xdr:row>
      <xdr:rowOff>142143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8BD8A5-11CE-4C5F-8581-1EACE2C1D75C}"/>
            </a:ext>
          </a:extLst>
        </xdr:cNvPr>
        <xdr:cNvSpPr txBox="1"/>
      </xdr:nvSpPr>
      <xdr:spPr>
        <a:xfrm>
          <a:off x="10498748" y="4287423"/>
          <a:ext cx="5952606" cy="9144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industry sector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 demand commodity and an industry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industrial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2191</xdr:colOff>
      <xdr:row>18</xdr:row>
      <xdr:rowOff>17751</xdr:rowOff>
    </xdr:from>
    <xdr:to>
      <xdr:col>10</xdr:col>
      <xdr:colOff>92721</xdr:colOff>
      <xdr:row>23</xdr:row>
      <xdr:rowOff>75778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7100577-490B-1FEB-45C4-A6AA00BFC058}"/>
            </a:ext>
          </a:extLst>
        </xdr:cNvPr>
        <xdr:cNvSpPr txBox="1"/>
      </xdr:nvSpPr>
      <xdr:spPr>
        <a:xfrm>
          <a:off x="3774260" y="3494797"/>
          <a:ext cx="3757233" cy="9220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The</a:t>
          </a:r>
          <a:r>
            <a:rPr lang="en-GB" sz="1100" baseline="0"/>
            <a:t> demand driver growth rate is computed based historical growth data of the respective energy consumption between 2019 and 2023</a:t>
          </a:r>
          <a:endParaRPr lang="en-GB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7</xdr:col>
      <xdr:colOff>381000</xdr:colOff>
      <xdr:row>15</xdr:row>
      <xdr:rowOff>66675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BA0B9D3-D018-429C-864E-35772BF3A006}"/>
            </a:ext>
          </a:extLst>
        </xdr:cNvPr>
        <xdr:cNvSpPr txBox="1"/>
      </xdr:nvSpPr>
      <xdr:spPr>
        <a:xfrm>
          <a:off x="609600" y="2200275"/>
          <a:ext cx="4419600" cy="57912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transport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carbon dioxide emission coefficients for each unit of fuel commodity consumed.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eduumb-my.sharepoint.com/personal/meselu_tegenie_mellaku_nmbu_no/Documents/PhD%20Renewable%20Energy/Paper%204/Summary%20Statistics%20%20Paper%204/Energybalance%20for%20Scenario%20building.xlsx" TargetMode="External"/><Relationship Id="rId1" Type="http://schemas.openxmlformats.org/officeDocument/2006/relationships/externalLinkPath" Target="/personal/meselu_tegenie_mellaku_nmbu_no/Documents/PhD%20Renewable%20Energy/Paper%204/Summary%20Statistics%20%20Paper%204/Energybalance%20for%20Scenario%20build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nergybalance history"/>
      <sheetName val="Enrgy growth"/>
    </sheetNames>
    <sheetDataSet>
      <sheetData sheetId="0">
        <row r="64">
          <cell r="A64" t="str">
            <v>Year</v>
          </cell>
        </row>
        <row r="65">
          <cell r="O65">
            <v>174233.682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MANCO@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5A86C-D5A8-4C3D-8B36-F46BCF028A2C}">
  <dimension ref="A1:AF140"/>
  <sheetViews>
    <sheetView topLeftCell="A41" workbookViewId="0">
      <selection activeCell="F86" sqref="F86"/>
    </sheetView>
  </sheetViews>
  <sheetFormatPr defaultColWidth="8.90625" defaultRowHeight="14.5" x14ac:dyDescent="0.35"/>
  <cols>
    <col min="1" max="1" width="99.54296875" style="181" bestFit="1" customWidth="1"/>
    <col min="2" max="2" width="11.08984375" style="181" customWidth="1"/>
    <col min="3" max="3" width="10.453125" style="181" customWidth="1"/>
    <col min="4" max="4" width="10.6328125" style="181" customWidth="1"/>
    <col min="5" max="5" width="12.08984375" style="181" bestFit="1" customWidth="1"/>
    <col min="6" max="6" width="11.54296875" style="181" bestFit="1" customWidth="1"/>
    <col min="7" max="7" width="14.6328125" style="181" bestFit="1" customWidth="1"/>
    <col min="8" max="8" width="10" style="181" bestFit="1" customWidth="1"/>
    <col min="9" max="9" width="10" style="182" bestFit="1" customWidth="1"/>
    <col min="10" max="10" width="9" style="183" bestFit="1" customWidth="1"/>
    <col min="11" max="11" width="8.90625" style="181"/>
    <col min="12" max="12" width="8.90625" style="184"/>
    <col min="13" max="13" width="10" style="183" bestFit="1" customWidth="1"/>
    <col min="14" max="14" width="8.90625" style="181"/>
    <col min="15" max="15" width="11" style="182" bestFit="1" customWidth="1"/>
    <col min="16" max="16" width="10" style="183" bestFit="1" customWidth="1"/>
    <col min="17" max="17" width="10" style="183" customWidth="1"/>
    <col min="18" max="16384" width="8.90625" style="181"/>
  </cols>
  <sheetData>
    <row r="1" spans="1:32" ht="16" thickBot="1" x14ac:dyDescent="0.4">
      <c r="A1" s="180" t="s">
        <v>296</v>
      </c>
      <c r="B1" s="180"/>
      <c r="C1" s="180"/>
      <c r="D1" s="180"/>
      <c r="V1" s="185" t="s">
        <v>297</v>
      </c>
    </row>
    <row r="2" spans="1:32" ht="15" thickBot="1" x14ac:dyDescent="0.4">
      <c r="A2" s="263" t="s">
        <v>144</v>
      </c>
      <c r="B2" s="264"/>
      <c r="C2" s="264"/>
      <c r="D2" s="264"/>
      <c r="E2" s="265"/>
      <c r="F2" s="263" t="s">
        <v>298</v>
      </c>
      <c r="G2" s="264"/>
      <c r="H2" s="264"/>
      <c r="I2" s="265"/>
      <c r="J2" s="260" t="s">
        <v>299</v>
      </c>
      <c r="K2" s="261"/>
      <c r="L2" s="261"/>
      <c r="M2" s="262"/>
      <c r="N2" s="263" t="s">
        <v>300</v>
      </c>
      <c r="O2" s="264"/>
      <c r="P2" s="264"/>
      <c r="Q2" s="264"/>
      <c r="R2" s="265"/>
      <c r="V2" s="186" t="s">
        <v>144</v>
      </c>
      <c r="W2" s="266" t="s">
        <v>301</v>
      </c>
      <c r="X2" s="267"/>
      <c r="Y2" s="267"/>
      <c r="Z2" s="267"/>
      <c r="AA2" s="268"/>
      <c r="AB2" s="266" t="s">
        <v>302</v>
      </c>
      <c r="AC2" s="267"/>
      <c r="AD2" s="267"/>
      <c r="AE2" s="267"/>
      <c r="AF2" s="268"/>
    </row>
    <row r="3" spans="1:32" ht="24.65" customHeight="1" thickBot="1" x14ac:dyDescent="0.4">
      <c r="A3" s="263" t="s">
        <v>303</v>
      </c>
      <c r="B3" s="264"/>
      <c r="C3" s="264"/>
      <c r="D3" s="264"/>
      <c r="E3" s="265"/>
      <c r="F3" s="187">
        <v>5</v>
      </c>
      <c r="G3" s="187" t="s">
        <v>304</v>
      </c>
      <c r="H3" s="187" t="s">
        <v>305</v>
      </c>
      <c r="I3" s="188">
        <v>10</v>
      </c>
      <c r="J3" s="189">
        <v>5</v>
      </c>
      <c r="K3" s="187" t="s">
        <v>304</v>
      </c>
      <c r="L3" s="190" t="s">
        <v>305</v>
      </c>
      <c r="M3" s="189">
        <v>10</v>
      </c>
      <c r="N3" s="187">
        <v>5</v>
      </c>
      <c r="O3" s="188" t="s">
        <v>304</v>
      </c>
      <c r="P3" s="189" t="s">
        <v>305</v>
      </c>
      <c r="Q3" s="189"/>
      <c r="R3" s="187">
        <v>10</v>
      </c>
      <c r="V3" s="191" t="s">
        <v>306</v>
      </c>
      <c r="W3" s="192">
        <v>2018</v>
      </c>
      <c r="X3" s="192">
        <v>2020</v>
      </c>
      <c r="Y3" s="192">
        <v>2030</v>
      </c>
      <c r="Z3" s="192">
        <v>2040</v>
      </c>
      <c r="AA3" s="192">
        <v>2050</v>
      </c>
      <c r="AB3" s="193">
        <v>2018</v>
      </c>
      <c r="AC3" s="193">
        <v>2020</v>
      </c>
      <c r="AD3" s="193">
        <v>2030</v>
      </c>
      <c r="AE3" s="193">
        <v>2040</v>
      </c>
      <c r="AF3" s="193">
        <v>2050</v>
      </c>
    </row>
    <row r="4" spans="1:32" ht="15" thickBot="1" x14ac:dyDescent="0.4">
      <c r="A4" s="269" t="s">
        <v>307</v>
      </c>
      <c r="B4" s="194"/>
      <c r="C4" s="194"/>
      <c r="D4" s="194"/>
      <c r="E4" s="187">
        <v>2024</v>
      </c>
      <c r="F4" s="195">
        <v>5017.1000000000004</v>
      </c>
      <c r="G4" s="195">
        <v>5269.2</v>
      </c>
      <c r="H4" s="195">
        <v>5371.7</v>
      </c>
      <c r="I4" s="196">
        <v>5527.3</v>
      </c>
      <c r="J4" s="197">
        <v>1286.0999999999999</v>
      </c>
      <c r="K4" s="195">
        <v>1355.1</v>
      </c>
      <c r="L4" s="198">
        <v>1390.7</v>
      </c>
      <c r="M4" s="197">
        <v>1716.2</v>
      </c>
      <c r="N4" s="195">
        <v>40518.9</v>
      </c>
      <c r="O4" s="196">
        <v>41362.699999999997</v>
      </c>
      <c r="P4" s="197">
        <v>41705.800000000003</v>
      </c>
      <c r="Q4" s="197"/>
      <c r="R4" s="195">
        <v>42226.3</v>
      </c>
      <c r="V4" s="191" t="s">
        <v>66</v>
      </c>
      <c r="W4" s="192">
        <v>13</v>
      </c>
      <c r="X4" s="192">
        <v>15.1</v>
      </c>
      <c r="Y4" s="192">
        <v>28.2</v>
      </c>
      <c r="Z4" s="192">
        <v>46.9</v>
      </c>
      <c r="AA4" s="192">
        <v>69.3</v>
      </c>
      <c r="AB4" s="193">
        <v>1117740</v>
      </c>
      <c r="AC4" s="193">
        <v>1298298</v>
      </c>
      <c r="AD4" s="193">
        <v>2424636</v>
      </c>
      <c r="AE4" s="193">
        <v>4032462</v>
      </c>
      <c r="AF4" s="193">
        <v>5958414</v>
      </c>
    </row>
    <row r="5" spans="1:32" ht="15" thickBot="1" x14ac:dyDescent="0.4">
      <c r="A5" s="270"/>
      <c r="B5" s="194"/>
      <c r="C5" s="194"/>
      <c r="D5" s="194"/>
      <c r="E5" s="187">
        <v>2028</v>
      </c>
      <c r="F5" s="195">
        <v>6144.8</v>
      </c>
      <c r="G5" s="195">
        <v>7109.3</v>
      </c>
      <c r="H5" s="195">
        <v>7527.8</v>
      </c>
      <c r="I5" s="196">
        <v>8192.7000000000007</v>
      </c>
      <c r="J5" s="197">
        <v>1594.5</v>
      </c>
      <c r="K5" s="195">
        <v>1858.3</v>
      </c>
      <c r="L5" s="198">
        <v>2103.4</v>
      </c>
      <c r="M5" s="197">
        <v>2580</v>
      </c>
      <c r="N5" s="195">
        <v>42313.8</v>
      </c>
      <c r="O5" s="196">
        <v>47520</v>
      </c>
      <c r="P5" s="197">
        <v>48920.3</v>
      </c>
      <c r="Q5" s="197"/>
      <c r="R5" s="195">
        <v>51145.3</v>
      </c>
      <c r="V5" s="191" t="s">
        <v>308</v>
      </c>
      <c r="W5" s="192">
        <v>4.5999999999999996</v>
      </c>
      <c r="X5" s="192">
        <v>6.4</v>
      </c>
      <c r="Y5" s="192">
        <v>20.6</v>
      </c>
      <c r="Z5" s="192">
        <v>40.700000000000003</v>
      </c>
      <c r="AA5" s="192">
        <v>62.5</v>
      </c>
      <c r="AB5" s="193">
        <v>395508</v>
      </c>
      <c r="AC5" s="193">
        <v>550272</v>
      </c>
      <c r="AD5" s="193">
        <v>1771188</v>
      </c>
      <c r="AE5" s="193">
        <v>3499386</v>
      </c>
      <c r="AF5" s="193">
        <v>5373750</v>
      </c>
    </row>
    <row r="6" spans="1:32" ht="15" thickBot="1" x14ac:dyDescent="0.4">
      <c r="A6" s="270"/>
      <c r="B6" s="194"/>
      <c r="C6" s="194"/>
      <c r="D6" s="194"/>
      <c r="E6" s="187">
        <v>2032</v>
      </c>
      <c r="F6" s="195">
        <v>7515.5</v>
      </c>
      <c r="G6" s="195">
        <v>9566.6</v>
      </c>
      <c r="H6" s="195">
        <v>10515.7</v>
      </c>
      <c r="I6" s="196">
        <v>12095.1</v>
      </c>
      <c r="J6" s="197">
        <v>1969.4</v>
      </c>
      <c r="K6" s="195">
        <v>2530.4</v>
      </c>
      <c r="L6" s="198">
        <v>3146.9</v>
      </c>
      <c r="M6" s="197">
        <v>3844.6</v>
      </c>
      <c r="N6" s="195">
        <v>44292.6</v>
      </c>
      <c r="O6" s="196">
        <v>55742.8</v>
      </c>
      <c r="P6" s="197">
        <v>58918.5</v>
      </c>
      <c r="Q6" s="197"/>
      <c r="R6" s="195">
        <v>83322.2</v>
      </c>
      <c r="V6" s="191" t="s">
        <v>64</v>
      </c>
      <c r="W6" s="192">
        <v>2.6</v>
      </c>
      <c r="X6" s="192">
        <v>3.1</v>
      </c>
      <c r="Y6" s="192">
        <v>6.6</v>
      </c>
      <c r="Z6" s="192">
        <v>12.5</v>
      </c>
      <c r="AA6" s="192">
        <v>21</v>
      </c>
      <c r="AB6" s="193">
        <v>223548</v>
      </c>
      <c r="AC6" s="193">
        <v>266538</v>
      </c>
      <c r="AD6" s="193">
        <v>567468</v>
      </c>
      <c r="AE6" s="193">
        <v>1074750</v>
      </c>
      <c r="AF6" s="193">
        <v>1805580</v>
      </c>
    </row>
    <row r="7" spans="1:32" ht="15" thickBot="1" x14ac:dyDescent="0.4">
      <c r="A7" s="270"/>
      <c r="B7" s="194"/>
      <c r="C7" s="194"/>
      <c r="D7" s="194"/>
      <c r="E7" s="187">
        <v>2036</v>
      </c>
      <c r="F7" s="195">
        <v>9181.7000000000007</v>
      </c>
      <c r="G7" s="195">
        <v>12848.4</v>
      </c>
      <c r="H7" s="195">
        <v>14656.6</v>
      </c>
      <c r="I7" s="196">
        <v>17808.599999999999</v>
      </c>
      <c r="J7" s="197">
        <v>2425.1</v>
      </c>
      <c r="K7" s="195">
        <v>3427.9</v>
      </c>
      <c r="L7" s="198">
        <v>4674.7</v>
      </c>
      <c r="M7" s="197">
        <v>5696.2</v>
      </c>
      <c r="N7" s="195">
        <v>46474.2</v>
      </c>
      <c r="O7" s="196">
        <v>66724.2</v>
      </c>
      <c r="P7" s="197">
        <v>72774.7</v>
      </c>
      <c r="Q7" s="197"/>
      <c r="R7" s="195">
        <v>51145.3</v>
      </c>
      <c r="V7" s="191" t="s">
        <v>309</v>
      </c>
      <c r="W7" s="192">
        <v>0.1</v>
      </c>
      <c r="X7" s="192">
        <v>0.5</v>
      </c>
      <c r="Y7" s="192">
        <v>4.4000000000000004</v>
      </c>
      <c r="Z7" s="192">
        <v>10.4</v>
      </c>
      <c r="AA7" s="192">
        <v>16.399999999999999</v>
      </c>
      <c r="AB7" s="193">
        <v>8598</v>
      </c>
      <c r="AC7" s="193">
        <v>42990</v>
      </c>
      <c r="AD7" s="193">
        <v>378312</v>
      </c>
      <c r="AE7" s="193">
        <v>894192</v>
      </c>
      <c r="AF7" s="193">
        <v>1410072</v>
      </c>
    </row>
    <row r="8" spans="1:32" ht="15" thickBot="1" x14ac:dyDescent="0.4">
      <c r="A8" s="270"/>
      <c r="B8" s="194"/>
      <c r="C8" s="194"/>
      <c r="D8" s="194"/>
      <c r="E8" s="187">
        <v>2040</v>
      </c>
      <c r="F8" s="195">
        <v>11207</v>
      </c>
      <c r="G8" s="195">
        <v>17231</v>
      </c>
      <c r="H8" s="195">
        <v>20395.2</v>
      </c>
      <c r="I8" s="196">
        <v>26173.8</v>
      </c>
      <c r="J8" s="197">
        <v>2980</v>
      </c>
      <c r="K8" s="195">
        <v>3427.9</v>
      </c>
      <c r="L8" s="198">
        <v>6911.6</v>
      </c>
      <c r="M8" s="197">
        <v>8407.1</v>
      </c>
      <c r="N8" s="195">
        <v>48879.4</v>
      </c>
      <c r="O8" s="196">
        <v>81389.399999999994</v>
      </c>
      <c r="P8" s="197">
        <v>91977.5</v>
      </c>
      <c r="Q8" s="197"/>
      <c r="R8" s="195">
        <v>111313.8</v>
      </c>
      <c r="V8" s="191" t="s">
        <v>69</v>
      </c>
      <c r="W8" s="192">
        <v>3.3</v>
      </c>
      <c r="X8" s="192">
        <v>3.9</v>
      </c>
      <c r="Y8" s="192">
        <v>15</v>
      </c>
      <c r="Z8" s="192">
        <v>20.399999999999999</v>
      </c>
      <c r="AA8" s="192">
        <v>24.9</v>
      </c>
      <c r="AB8" s="193">
        <v>283734</v>
      </c>
      <c r="AC8" s="193">
        <v>335322</v>
      </c>
      <c r="AD8" s="193">
        <v>1289700</v>
      </c>
      <c r="AE8" s="193">
        <v>1753992</v>
      </c>
      <c r="AF8" s="193">
        <v>2140902</v>
      </c>
    </row>
    <row r="9" spans="1:32" ht="15" thickBot="1" x14ac:dyDescent="0.4">
      <c r="A9" s="270"/>
      <c r="B9" s="194"/>
      <c r="C9" s="194"/>
      <c r="D9" s="194"/>
      <c r="E9" s="187">
        <v>2044</v>
      </c>
      <c r="F9" s="195">
        <v>13668.6</v>
      </c>
      <c r="G9" s="195">
        <v>23083.9</v>
      </c>
      <c r="H9" s="195">
        <v>28348.2</v>
      </c>
      <c r="I9" s="196">
        <v>38421.300000000003</v>
      </c>
      <c r="J9" s="197">
        <v>3652.2</v>
      </c>
      <c r="K9" s="195">
        <v>4626.5</v>
      </c>
      <c r="L9" s="198">
        <v>10186.5</v>
      </c>
      <c r="M9" s="197">
        <v>12376.2</v>
      </c>
      <c r="N9" s="195">
        <v>51531.199999999997</v>
      </c>
      <c r="O9" s="196">
        <v>100974.39999999999</v>
      </c>
      <c r="P9" s="197">
        <v>118589.8</v>
      </c>
      <c r="Q9" s="197"/>
      <c r="R9" s="195">
        <v>152296.29999999999</v>
      </c>
      <c r="V9" s="191" t="s">
        <v>310</v>
      </c>
      <c r="W9" s="192">
        <v>1.5</v>
      </c>
      <c r="X9" s="192">
        <v>4.5</v>
      </c>
      <c r="Y9" s="192">
        <v>13.8</v>
      </c>
      <c r="Z9" s="192">
        <v>32</v>
      </c>
      <c r="AA9" s="192">
        <v>35.299999999999997</v>
      </c>
      <c r="AB9" s="193">
        <v>128970</v>
      </c>
      <c r="AC9" s="193">
        <v>386910</v>
      </c>
      <c r="AD9" s="193">
        <v>1186524</v>
      </c>
      <c r="AE9" s="193">
        <v>2751360</v>
      </c>
      <c r="AF9" s="193">
        <v>3035094</v>
      </c>
    </row>
    <row r="10" spans="1:32" ht="15" thickBot="1" x14ac:dyDescent="0.4">
      <c r="A10" s="270"/>
      <c r="B10" s="194"/>
      <c r="C10" s="194"/>
      <c r="D10" s="194"/>
      <c r="E10" s="187">
        <v>2048</v>
      </c>
      <c r="F10" s="195">
        <v>16660.8</v>
      </c>
      <c r="G10" s="195">
        <v>30900.3</v>
      </c>
      <c r="H10" s="195">
        <v>39369.9</v>
      </c>
      <c r="I10" s="196">
        <v>56352.800000000003</v>
      </c>
      <c r="J10" s="197">
        <v>4470.5</v>
      </c>
      <c r="K10" s="195">
        <v>6227.2</v>
      </c>
      <c r="L10" s="198">
        <v>14981.4</v>
      </c>
      <c r="M10" s="197">
        <v>18187.3</v>
      </c>
      <c r="N10" s="195">
        <v>54454.7</v>
      </c>
      <c r="O10" s="196">
        <v>127129.60000000001</v>
      </c>
      <c r="P10" s="197">
        <v>155470.6</v>
      </c>
      <c r="Q10" s="197"/>
      <c r="R10" s="195">
        <v>212298.8</v>
      </c>
      <c r="V10" s="191" t="s">
        <v>48</v>
      </c>
      <c r="W10" s="192">
        <v>25.1</v>
      </c>
      <c r="X10" s="192">
        <v>33.5</v>
      </c>
      <c r="Y10" s="192">
        <v>88.6</v>
      </c>
      <c r="Z10" s="192">
        <v>162.9</v>
      </c>
      <c r="AA10" s="192">
        <v>229.4</v>
      </c>
      <c r="AB10" s="193">
        <v>2158098</v>
      </c>
      <c r="AC10" s="193">
        <v>2880330</v>
      </c>
      <c r="AD10" s="193">
        <v>7617828</v>
      </c>
      <c r="AE10" s="193">
        <v>14006142</v>
      </c>
      <c r="AF10" s="193">
        <v>19723812</v>
      </c>
    </row>
    <row r="11" spans="1:32" ht="15" thickBot="1" x14ac:dyDescent="0.4">
      <c r="A11" s="271"/>
      <c r="B11" s="187"/>
      <c r="C11" s="187"/>
      <c r="D11" s="187"/>
      <c r="E11" s="187">
        <v>2052</v>
      </c>
      <c r="F11" s="195">
        <v>20297.900000000001</v>
      </c>
      <c r="G11" s="195">
        <v>41338.800000000003</v>
      </c>
      <c r="H11" s="195">
        <v>54644.4</v>
      </c>
      <c r="I11" s="196">
        <v>82606.3</v>
      </c>
      <c r="J11" s="197">
        <v>5465.2</v>
      </c>
      <c r="K11" s="195">
        <v>11219.6</v>
      </c>
      <c r="L11" s="198">
        <v>22001.5</v>
      </c>
      <c r="M11" s="197">
        <v>26695.3</v>
      </c>
      <c r="N11" s="195">
        <v>57678</v>
      </c>
      <c r="O11" s="196">
        <v>162059</v>
      </c>
      <c r="P11" s="197">
        <v>206582.3</v>
      </c>
      <c r="Q11" s="197"/>
      <c r="R11" s="195">
        <v>300148.40000000002</v>
      </c>
    </row>
    <row r="12" spans="1:32" ht="15" thickBot="1" x14ac:dyDescent="0.4">
      <c r="A12" s="269" t="s">
        <v>311</v>
      </c>
      <c r="B12" s="194"/>
      <c r="C12" s="194"/>
      <c r="D12" s="194"/>
      <c r="E12" s="192">
        <v>2024</v>
      </c>
      <c r="F12" s="199">
        <v>210094.2</v>
      </c>
      <c r="G12" s="199">
        <v>220653.7</v>
      </c>
      <c r="H12" s="199">
        <v>224946.8</v>
      </c>
      <c r="I12" s="200">
        <v>231461.1</v>
      </c>
      <c r="J12" s="201">
        <v>53857.2</v>
      </c>
      <c r="K12" s="199">
        <v>56745</v>
      </c>
      <c r="L12" s="202">
        <v>58237</v>
      </c>
      <c r="M12" s="201">
        <v>71866.8</v>
      </c>
      <c r="N12" s="199">
        <v>1696773</v>
      </c>
      <c r="O12" s="200">
        <v>1732105.9</v>
      </c>
      <c r="P12" s="201">
        <v>1746472.4</v>
      </c>
      <c r="Q12" s="201"/>
      <c r="R12" s="199">
        <v>1768270.5</v>
      </c>
    </row>
    <row r="13" spans="1:32" ht="15" thickBot="1" x14ac:dyDescent="0.4">
      <c r="A13" s="270"/>
      <c r="B13" s="194"/>
      <c r="C13" s="194"/>
      <c r="D13" s="194"/>
      <c r="E13" s="192">
        <v>2028</v>
      </c>
      <c r="F13" s="199">
        <v>257319.1</v>
      </c>
      <c r="G13" s="199">
        <v>297708.5</v>
      </c>
      <c r="H13" s="199">
        <v>315232.40000000002</v>
      </c>
      <c r="I13" s="200">
        <v>343077.9</v>
      </c>
      <c r="J13" s="201">
        <v>66772.600000000006</v>
      </c>
      <c r="K13" s="199">
        <v>77818.7</v>
      </c>
      <c r="L13" s="202">
        <v>88082.9</v>
      </c>
      <c r="M13" s="201">
        <v>108038.5</v>
      </c>
      <c r="N13" s="199">
        <v>1771933</v>
      </c>
      <c r="O13" s="200">
        <v>1989948.1</v>
      </c>
      <c r="P13" s="201">
        <v>2048587.1</v>
      </c>
      <c r="Q13" s="201"/>
      <c r="R13" s="199">
        <v>2141762.6</v>
      </c>
    </row>
    <row r="14" spans="1:32" ht="15" thickBot="1" x14ac:dyDescent="0.4">
      <c r="A14" s="270"/>
      <c r="B14" s="194"/>
      <c r="C14" s="194"/>
      <c r="D14" s="194"/>
      <c r="E14" s="192">
        <v>2032</v>
      </c>
      <c r="F14" s="199">
        <v>314721.09999999998</v>
      </c>
      <c r="G14" s="199">
        <v>400613.1</v>
      </c>
      <c r="H14" s="199">
        <v>440355.9</v>
      </c>
      <c r="I14" s="200">
        <v>506495.4</v>
      </c>
      <c r="J14" s="201">
        <v>82471.5</v>
      </c>
      <c r="K14" s="199">
        <v>105961.9</v>
      </c>
      <c r="L14" s="202">
        <v>131780.6</v>
      </c>
      <c r="M14" s="201">
        <v>160997.5</v>
      </c>
      <c r="N14" s="199">
        <v>1854796.9</v>
      </c>
      <c r="O14" s="200">
        <v>2334288.1</v>
      </c>
      <c r="P14" s="201">
        <v>2467275.1</v>
      </c>
      <c r="Q14" s="201"/>
      <c r="R14" s="199">
        <v>3489204.8</v>
      </c>
    </row>
    <row r="15" spans="1:32" ht="15" thickBot="1" x14ac:dyDescent="0.4">
      <c r="A15" s="270"/>
      <c r="B15" s="194"/>
      <c r="C15" s="194"/>
      <c r="D15" s="194"/>
      <c r="E15" s="192">
        <v>2036</v>
      </c>
      <c r="F15" s="199">
        <v>384493.7</v>
      </c>
      <c r="G15" s="199">
        <v>538038.9</v>
      </c>
      <c r="H15" s="199">
        <v>613759.19999999995</v>
      </c>
      <c r="I15" s="200">
        <v>745755.4</v>
      </c>
      <c r="J15" s="201">
        <v>101553.2</v>
      </c>
      <c r="K15" s="199">
        <v>143545.60000000001</v>
      </c>
      <c r="L15" s="202">
        <v>195758.8</v>
      </c>
      <c r="M15" s="201">
        <v>238534.8</v>
      </c>
      <c r="N15" s="199">
        <v>1946154.1</v>
      </c>
      <c r="O15" s="200">
        <v>2794143.6</v>
      </c>
      <c r="P15" s="201">
        <v>3047518.4</v>
      </c>
      <c r="Q15" s="201"/>
      <c r="R15" s="199">
        <v>2141762.6</v>
      </c>
    </row>
    <row r="16" spans="1:32" ht="15" thickBot="1" x14ac:dyDescent="0.4">
      <c r="A16" s="270"/>
      <c r="B16" s="194"/>
      <c r="C16" s="194"/>
      <c r="D16" s="194"/>
      <c r="E16" s="192">
        <v>2040</v>
      </c>
      <c r="F16" s="199">
        <v>469302.8</v>
      </c>
      <c r="G16" s="199">
        <v>721567.4</v>
      </c>
      <c r="H16" s="199">
        <v>854071.6</v>
      </c>
      <c r="I16" s="200">
        <v>1096055.7</v>
      </c>
      <c r="J16" s="201">
        <v>124789.4</v>
      </c>
      <c r="K16" s="199">
        <v>143545.60000000001</v>
      </c>
      <c r="L16" s="202">
        <v>289428.8</v>
      </c>
      <c r="M16" s="201">
        <v>352057.4</v>
      </c>
      <c r="N16" s="199">
        <v>2046875.6</v>
      </c>
      <c r="O16" s="200">
        <v>3408266.3</v>
      </c>
      <c r="P16" s="201">
        <v>3851652.8</v>
      </c>
      <c r="Q16" s="201"/>
      <c r="R16" s="199">
        <v>4661382.3</v>
      </c>
    </row>
    <row r="17" spans="1:24" ht="15" thickBot="1" x14ac:dyDescent="0.4">
      <c r="A17" s="270"/>
      <c r="B17" s="194"/>
      <c r="C17" s="194"/>
      <c r="D17" s="194"/>
      <c r="E17" s="192">
        <v>2044</v>
      </c>
      <c r="F17" s="199">
        <v>572388.19999999995</v>
      </c>
      <c r="G17" s="199">
        <v>966663.3</v>
      </c>
      <c r="H17" s="199">
        <v>1187110.6000000001</v>
      </c>
      <c r="I17" s="200">
        <v>1608930.5</v>
      </c>
      <c r="J17" s="201">
        <v>152939.70000000001</v>
      </c>
      <c r="K17" s="199">
        <v>193738.3</v>
      </c>
      <c r="L17" s="202">
        <v>426570.8</v>
      </c>
      <c r="M17" s="201">
        <v>518265.5</v>
      </c>
      <c r="N17" s="199">
        <v>2157921.2999999998</v>
      </c>
      <c r="O17" s="200">
        <v>4228408.7</v>
      </c>
      <c r="P17" s="201">
        <v>4966069.9000000004</v>
      </c>
      <c r="Q17" s="201"/>
      <c r="R17" s="199">
        <v>6377567</v>
      </c>
    </row>
    <row r="18" spans="1:24" ht="15" thickBot="1" x14ac:dyDescent="0.4">
      <c r="A18" s="270"/>
      <c r="B18" s="194"/>
      <c r="C18" s="194"/>
      <c r="D18" s="194"/>
      <c r="E18" s="192">
        <v>2048</v>
      </c>
      <c r="F18" s="199">
        <v>697689.7</v>
      </c>
      <c r="G18" s="199">
        <v>1293981.6000000001</v>
      </c>
      <c r="H18" s="199">
        <v>1648655.4</v>
      </c>
      <c r="I18" s="200">
        <v>2359830.7999999998</v>
      </c>
      <c r="J18" s="201">
        <v>187208.1</v>
      </c>
      <c r="K18" s="199">
        <v>260768.8</v>
      </c>
      <c r="L18" s="202">
        <v>627361</v>
      </c>
      <c r="M18" s="201">
        <v>761611</v>
      </c>
      <c r="N18" s="199">
        <v>2280348.7999999998</v>
      </c>
      <c r="O18" s="200">
        <v>5323683</v>
      </c>
      <c r="P18" s="201">
        <v>6510494.5999999996</v>
      </c>
      <c r="Q18" s="201"/>
      <c r="R18" s="199">
        <v>8890233.1999999993</v>
      </c>
    </row>
    <row r="19" spans="1:24" ht="15" thickBot="1" x14ac:dyDescent="0.4">
      <c r="A19" s="271"/>
      <c r="B19" s="187"/>
      <c r="C19" s="187"/>
      <c r="D19" s="187"/>
      <c r="E19" s="192">
        <v>2052</v>
      </c>
      <c r="F19" s="199">
        <v>849994.6</v>
      </c>
      <c r="G19" s="199">
        <v>1731105.1</v>
      </c>
      <c r="H19" s="199">
        <v>2288291.5</v>
      </c>
      <c r="I19" s="200">
        <v>3459223.2</v>
      </c>
      <c r="J19" s="201">
        <v>228861.4</v>
      </c>
      <c r="K19" s="199">
        <v>469833.3</v>
      </c>
      <c r="L19" s="202">
        <v>921337.5</v>
      </c>
      <c r="M19" s="201">
        <v>1117893.2</v>
      </c>
      <c r="N19" s="199">
        <v>2415325.4</v>
      </c>
      <c r="O19" s="200">
        <v>6786388.2000000002</v>
      </c>
      <c r="P19" s="201">
        <v>8650848.8000000007</v>
      </c>
      <c r="Q19" s="201"/>
      <c r="R19" s="199">
        <v>12569028.1</v>
      </c>
    </row>
    <row r="23" spans="1:24" x14ac:dyDescent="0.35">
      <c r="B23" s="203" t="s">
        <v>312</v>
      </c>
      <c r="C23" s="203"/>
      <c r="D23" s="203"/>
      <c r="E23" s="203" t="s">
        <v>313</v>
      </c>
      <c r="F23" s="203"/>
      <c r="G23" s="181" t="s">
        <v>314</v>
      </c>
    </row>
    <row r="24" spans="1:24" x14ac:dyDescent="0.35">
      <c r="B24" s="181">
        <v>2019</v>
      </c>
      <c r="C24" s="181">
        <v>2020</v>
      </c>
      <c r="D24" s="181">
        <v>2021</v>
      </c>
      <c r="E24" s="181">
        <v>2022</v>
      </c>
      <c r="F24" s="181">
        <v>2023</v>
      </c>
      <c r="G24" s="181">
        <v>2024</v>
      </c>
      <c r="H24" s="181">
        <v>2025</v>
      </c>
      <c r="I24" s="182">
        <v>2028</v>
      </c>
      <c r="J24" s="183">
        <v>2030</v>
      </c>
      <c r="K24" s="181">
        <v>2032</v>
      </c>
      <c r="L24" s="184">
        <v>2036</v>
      </c>
      <c r="M24" s="183">
        <v>2040</v>
      </c>
      <c r="N24" s="181">
        <v>2044</v>
      </c>
      <c r="O24" s="182">
        <v>2048</v>
      </c>
      <c r="P24" s="183">
        <v>2050</v>
      </c>
      <c r="R24" s="181">
        <v>2052</v>
      </c>
    </row>
    <row r="25" spans="1:24" s="6" customFormat="1" x14ac:dyDescent="0.35">
      <c r="A25" s="6" t="s">
        <v>315</v>
      </c>
      <c r="B25" s="204">
        <f>B49+B50+B51+B52</f>
        <v>70483.322</v>
      </c>
      <c r="C25" s="204">
        <f t="shared" ref="C25:F25" si="0">C49+C50+C51+C52</f>
        <v>62800.626000000004</v>
      </c>
      <c r="D25" s="204">
        <f t="shared" si="0"/>
        <v>70146.457999999999</v>
      </c>
      <c r="E25" s="204">
        <f t="shared" si="0"/>
        <v>79469.299999999988</v>
      </c>
      <c r="F25" s="204">
        <f t="shared" si="0"/>
        <v>82506.92</v>
      </c>
      <c r="G25" s="6">
        <f>L4*11.63</f>
        <v>16173.841000000002</v>
      </c>
      <c r="I25" s="6">
        <f>L5*11.63</f>
        <v>24462.542000000001</v>
      </c>
      <c r="J25" s="6">
        <f>(I25+K25)/2</f>
        <v>30530.494500000001</v>
      </c>
      <c r="K25" s="6">
        <f>L6*11.63</f>
        <v>36598.447</v>
      </c>
      <c r="L25" s="6">
        <f>L7*11.63</f>
        <v>54366.760999999999</v>
      </c>
      <c r="M25" s="6">
        <f>L8*11.63</f>
        <v>80381.90800000001</v>
      </c>
      <c r="N25" s="6">
        <f>L9*11.63</f>
        <v>118468.99500000001</v>
      </c>
      <c r="O25" s="6">
        <f>L10*11.63</f>
        <v>174233.682</v>
      </c>
      <c r="P25" s="6">
        <f>(O25+R25)/2</f>
        <v>215055.56349999999</v>
      </c>
      <c r="R25" s="6">
        <f>L11*11.63</f>
        <v>255877.44500000001</v>
      </c>
      <c r="S25" s="6" t="s">
        <v>316</v>
      </c>
      <c r="X25" s="6" t="s">
        <v>317</v>
      </c>
    </row>
    <row r="26" spans="1:24" s="205" customFormat="1" x14ac:dyDescent="0.35">
      <c r="A26" s="205" t="s">
        <v>318</v>
      </c>
      <c r="B26" s="206">
        <f>B49</f>
        <v>10576.44</v>
      </c>
      <c r="C26" s="206">
        <f t="shared" ref="C26:F26" si="1">C49</f>
        <v>9209.482</v>
      </c>
      <c r="D26" s="206">
        <f t="shared" si="1"/>
        <v>10167.26</v>
      </c>
      <c r="E26" s="206">
        <f t="shared" si="1"/>
        <v>10843.81</v>
      </c>
      <c r="F26" s="206">
        <f t="shared" si="1"/>
        <v>13036.67</v>
      </c>
      <c r="J26" s="205">
        <f>Y4*1000</f>
        <v>28200</v>
      </c>
      <c r="M26" s="205">
        <f>Z4*1000</f>
        <v>46900</v>
      </c>
      <c r="P26" s="205">
        <f>AA4*1000</f>
        <v>69300</v>
      </c>
      <c r="S26" s="205" t="s">
        <v>319</v>
      </c>
    </row>
    <row r="27" spans="1:24" x14ac:dyDescent="0.35">
      <c r="A27" s="181" t="s">
        <v>320</v>
      </c>
      <c r="E27" s="181">
        <f>(E50+E52+E51)*0.2777778</f>
        <v>19062.637636122003</v>
      </c>
    </row>
    <row r="28" spans="1:24" s="207" customFormat="1" x14ac:dyDescent="0.35">
      <c r="A28" s="207" t="s">
        <v>321</v>
      </c>
      <c r="E28" s="208">
        <f>E26/E25</f>
        <v>0.1364528188872936</v>
      </c>
      <c r="O28" s="208">
        <f>O26/O25</f>
        <v>0</v>
      </c>
    </row>
    <row r="29" spans="1:24" x14ac:dyDescent="0.35">
      <c r="A29" s="181" t="s">
        <v>322</v>
      </c>
      <c r="E29" s="209">
        <f>1-E28</f>
        <v>0.86354718111270645</v>
      </c>
      <c r="O29" s="210">
        <f>1-O28</f>
        <v>1</v>
      </c>
    </row>
    <row r="30" spans="1:24" s="211" customFormat="1" x14ac:dyDescent="0.35">
      <c r="A30" s="211" t="s">
        <v>323</v>
      </c>
      <c r="E30" s="212"/>
      <c r="I30" s="182"/>
      <c r="J30" s="183"/>
      <c r="L30" s="184"/>
      <c r="M30" s="183"/>
      <c r="O30" s="210">
        <f>(O25-E25)/E25</f>
        <v>1.1924652916283398</v>
      </c>
      <c r="P30" s="183"/>
      <c r="Q30" s="183"/>
    </row>
    <row r="31" spans="1:24" x14ac:dyDescent="0.35">
      <c r="A31" s="181" t="s">
        <v>324</v>
      </c>
      <c r="E31" s="209"/>
      <c r="O31" s="210">
        <f>(O26-E26)/E26</f>
        <v>-1</v>
      </c>
    </row>
    <row r="32" spans="1:24" s="211" customFormat="1" x14ac:dyDescent="0.35">
      <c r="A32" s="211" t="s">
        <v>325</v>
      </c>
      <c r="E32" s="212"/>
      <c r="I32" s="182"/>
      <c r="J32" s="183"/>
      <c r="L32" s="184"/>
      <c r="M32" s="183"/>
      <c r="O32" s="210">
        <f>((O27-E27)/E27)</f>
        <v>-1</v>
      </c>
      <c r="P32" s="183"/>
      <c r="Q32" s="183"/>
    </row>
    <row r="33" spans="1:20" x14ac:dyDescent="0.35">
      <c r="E33" s="209"/>
      <c r="O33" s="210"/>
    </row>
    <row r="34" spans="1:20" x14ac:dyDescent="0.35">
      <c r="E34" s="209"/>
      <c r="O34" s="210"/>
    </row>
    <row r="35" spans="1:20" x14ac:dyDescent="0.35">
      <c r="E35" s="209"/>
      <c r="O35" s="210"/>
    </row>
    <row r="36" spans="1:20" x14ac:dyDescent="0.35">
      <c r="E36" s="209"/>
      <c r="O36" s="210"/>
    </row>
    <row r="37" spans="1:20" s="213" customFormat="1" x14ac:dyDescent="0.35">
      <c r="A37" s="213" t="s">
        <v>161</v>
      </c>
      <c r="I37" s="182"/>
      <c r="J37" s="183"/>
      <c r="L37" s="184"/>
      <c r="M37" s="183"/>
      <c r="O37" s="182"/>
      <c r="P37" s="183"/>
      <c r="Q37" s="183"/>
    </row>
    <row r="38" spans="1:20" s="214" customFormat="1" x14ac:dyDescent="0.35">
      <c r="A38" s="214" t="s">
        <v>326</v>
      </c>
      <c r="E38" s="214">
        <f>10301.62*0.2777778</f>
        <v>2861.5613400360003</v>
      </c>
      <c r="F38" s="215">
        <f>28990435.88*0.2777778</f>
        <v>8052899.4997874638</v>
      </c>
      <c r="I38" s="182"/>
      <c r="J38" s="183"/>
      <c r="L38" s="184"/>
      <c r="M38" s="183"/>
      <c r="O38" s="182"/>
      <c r="P38" s="216"/>
      <c r="Q38" s="216"/>
      <c r="T38" s="214" t="s">
        <v>327</v>
      </c>
    </row>
    <row r="39" spans="1:20" s="213" customFormat="1" x14ac:dyDescent="0.35">
      <c r="A39" s="213" t="s">
        <v>328</v>
      </c>
      <c r="E39" s="213">
        <f>(E56+E57+E58)*0.2777778</f>
        <v>10281.181933605601</v>
      </c>
      <c r="F39" s="217"/>
      <c r="I39" s="182"/>
      <c r="J39" s="183"/>
      <c r="L39" s="184"/>
      <c r="M39" s="183"/>
      <c r="O39" s="182"/>
      <c r="P39" s="216"/>
      <c r="Q39" s="216"/>
      <c r="R39" s="217">
        <f>(O39-E39)/E39</f>
        <v>-1</v>
      </c>
      <c r="T39" s="213" t="s">
        <v>329</v>
      </c>
    </row>
    <row r="40" spans="1:20" s="213" customFormat="1" x14ac:dyDescent="0.35">
      <c r="A40" s="213" t="s">
        <v>160</v>
      </c>
      <c r="E40" s="213">
        <f>E56*0.2777778</f>
        <v>2605.1202084096003</v>
      </c>
      <c r="F40" s="217"/>
      <c r="I40" s="182"/>
      <c r="J40" s="183"/>
      <c r="L40" s="184"/>
      <c r="M40" s="183"/>
      <c r="O40" s="182"/>
      <c r="P40" s="183"/>
      <c r="Q40" s="183"/>
      <c r="R40" s="217"/>
      <c r="T40" s="213" t="s">
        <v>330</v>
      </c>
    </row>
    <row r="41" spans="1:20" s="213" customFormat="1" x14ac:dyDescent="0.35">
      <c r="A41" s="213" t="s">
        <v>331</v>
      </c>
      <c r="E41" s="213">
        <f>E57*0.2777778</f>
        <v>4518.4003614720004</v>
      </c>
      <c r="F41" s="217"/>
      <c r="I41" s="182"/>
      <c r="J41" s="183"/>
      <c r="L41" s="184"/>
      <c r="M41" s="183"/>
      <c r="O41" s="182"/>
      <c r="P41" s="183"/>
      <c r="Q41" s="183"/>
      <c r="R41" s="217"/>
      <c r="T41" s="213" t="s">
        <v>332</v>
      </c>
    </row>
    <row r="42" spans="1:20" s="213" customFormat="1" x14ac:dyDescent="0.35">
      <c r="A42" s="213" t="s">
        <v>333</v>
      </c>
      <c r="E42" s="213">
        <f>E58*0.2777778</f>
        <v>3157.6613637240002</v>
      </c>
      <c r="F42" s="217"/>
      <c r="I42" s="182"/>
      <c r="J42" s="183"/>
      <c r="L42" s="184"/>
      <c r="M42" s="183"/>
      <c r="O42" s="182"/>
      <c r="P42" s="183"/>
      <c r="Q42" s="183"/>
      <c r="R42" s="217"/>
    </row>
    <row r="43" spans="1:20" s="213" customFormat="1" x14ac:dyDescent="0.35">
      <c r="A43" s="213" t="s">
        <v>334</v>
      </c>
      <c r="E43" s="213">
        <f>E41+E42</f>
        <v>7676.0617251960011</v>
      </c>
      <c r="F43" s="218">
        <f>29343.096*0.2777778</f>
        <v>8150.8606520688008</v>
      </c>
      <c r="G43" s="213">
        <f>E43/0.2777778</f>
        <v>27633.820000000003</v>
      </c>
      <c r="I43" s="182"/>
      <c r="J43" s="183"/>
      <c r="L43" s="184"/>
      <c r="M43" s="183"/>
      <c r="O43" s="182"/>
      <c r="P43" s="183"/>
      <c r="Q43" s="183"/>
      <c r="R43" s="217"/>
    </row>
    <row r="44" spans="1:20" s="213" customFormat="1" x14ac:dyDescent="0.35">
      <c r="I44" s="182"/>
      <c r="J44" s="183"/>
      <c r="L44" s="184"/>
      <c r="M44" s="183"/>
      <c r="O44" s="182"/>
      <c r="P44" s="183"/>
      <c r="Q44" s="183"/>
      <c r="R44" s="217"/>
    </row>
    <row r="45" spans="1:20" x14ac:dyDescent="0.35">
      <c r="A45" s="181" t="s">
        <v>335</v>
      </c>
      <c r="E45" s="219">
        <f>E39/(E38+E39)</f>
        <v>0.78227062033730832</v>
      </c>
    </row>
    <row r="46" spans="1:20" x14ac:dyDescent="0.35">
      <c r="A46" s="181" t="s">
        <v>336</v>
      </c>
      <c r="E46" s="209">
        <f>E38/(E38+E39)</f>
        <v>0.21772937966269174</v>
      </c>
    </row>
    <row r="47" spans="1:20" x14ac:dyDescent="0.35">
      <c r="A47" s="213" t="s">
        <v>337</v>
      </c>
      <c r="B47" s="213"/>
      <c r="C47" s="213"/>
      <c r="D47" s="213"/>
      <c r="O47" s="210">
        <f>(O38-E38)/E38</f>
        <v>-1</v>
      </c>
    </row>
    <row r="48" spans="1:20" s="220" customFormat="1" x14ac:dyDescent="0.35">
      <c r="A48" s="220" t="s">
        <v>97</v>
      </c>
      <c r="B48" s="220">
        <f>B24</f>
        <v>2019</v>
      </c>
      <c r="C48" s="220">
        <f t="shared" ref="C48:R48" si="2">C24</f>
        <v>2020</v>
      </c>
      <c r="D48" s="220">
        <f t="shared" si="2"/>
        <v>2021</v>
      </c>
      <c r="E48" s="220">
        <f t="shared" si="2"/>
        <v>2022</v>
      </c>
      <c r="F48" s="220">
        <f t="shared" si="2"/>
        <v>2023</v>
      </c>
      <c r="G48" s="220">
        <f t="shared" si="2"/>
        <v>2024</v>
      </c>
      <c r="H48" s="220">
        <f t="shared" si="2"/>
        <v>2025</v>
      </c>
      <c r="I48" s="220">
        <f t="shared" si="2"/>
        <v>2028</v>
      </c>
      <c r="J48" s="220">
        <f t="shared" si="2"/>
        <v>2030</v>
      </c>
      <c r="K48" s="220">
        <f t="shared" si="2"/>
        <v>2032</v>
      </c>
      <c r="L48" s="220">
        <f t="shared" si="2"/>
        <v>2036</v>
      </c>
      <c r="M48" s="220">
        <f t="shared" si="2"/>
        <v>2040</v>
      </c>
      <c r="N48" s="220">
        <f t="shared" si="2"/>
        <v>2044</v>
      </c>
      <c r="O48" s="220">
        <f t="shared" si="2"/>
        <v>2048</v>
      </c>
      <c r="P48" s="220">
        <f t="shared" si="2"/>
        <v>2050</v>
      </c>
      <c r="R48" s="220">
        <f t="shared" si="2"/>
        <v>2052</v>
      </c>
    </row>
    <row r="49" spans="1:17" x14ac:dyDescent="0.35">
      <c r="A49" s="181" t="s">
        <v>338</v>
      </c>
      <c r="B49" s="221">
        <v>10576.44</v>
      </c>
      <c r="C49" s="221">
        <v>9209.482</v>
      </c>
      <c r="D49" s="221">
        <v>10167.26</v>
      </c>
      <c r="E49" s="221">
        <v>10843.81</v>
      </c>
      <c r="F49" s="221">
        <v>13036.67</v>
      </c>
    </row>
    <row r="50" spans="1:17" x14ac:dyDescent="0.35">
      <c r="A50" s="181" t="s">
        <v>339</v>
      </c>
      <c r="B50" s="221">
        <v>15875.22</v>
      </c>
      <c r="C50" s="221">
        <v>8280.7870000000003</v>
      </c>
      <c r="D50" s="221">
        <v>11261.34</v>
      </c>
      <c r="E50" s="221">
        <f>E58</f>
        <v>11367.58</v>
      </c>
      <c r="F50" s="221">
        <v>11367.58</v>
      </c>
    </row>
    <row r="51" spans="1:17" x14ac:dyDescent="0.35">
      <c r="A51" s="181" t="s">
        <v>340</v>
      </c>
      <c r="B51" s="221">
        <v>136.322</v>
      </c>
      <c r="C51" s="221">
        <v>5783.4470000000001</v>
      </c>
      <c r="D51" s="221">
        <v>6232.6379999999999</v>
      </c>
      <c r="E51" s="221">
        <f>E57</f>
        <v>16266.24</v>
      </c>
      <c r="F51" s="221">
        <v>17976.259999999998</v>
      </c>
    </row>
    <row r="52" spans="1:17" x14ac:dyDescent="0.35">
      <c r="A52" s="181" t="s">
        <v>341</v>
      </c>
      <c r="B52" s="221">
        <v>43895.34</v>
      </c>
      <c r="C52" s="221">
        <v>39526.910000000003</v>
      </c>
      <c r="D52" s="221">
        <v>42485.22</v>
      </c>
      <c r="E52" s="221">
        <v>40991.67</v>
      </c>
      <c r="F52" s="221">
        <v>40126.410000000003</v>
      </c>
    </row>
    <row r="53" spans="1:17" x14ac:dyDescent="0.35">
      <c r="A53" s="181" t="s">
        <v>342</v>
      </c>
      <c r="B53" s="221">
        <f>SUM(B49:B52)</f>
        <v>70483.322</v>
      </c>
      <c r="C53" s="221">
        <f t="shared" ref="C53:F53" si="3">SUM(C49:C52)</f>
        <v>62800.626000000004</v>
      </c>
      <c r="D53" s="221">
        <f t="shared" si="3"/>
        <v>70146.457999999999</v>
      </c>
      <c r="E53" s="221">
        <f t="shared" si="3"/>
        <v>79469.299999999988</v>
      </c>
      <c r="F53" s="221">
        <f t="shared" si="3"/>
        <v>82506.92</v>
      </c>
    </row>
    <row r="54" spans="1:17" x14ac:dyDescent="0.35">
      <c r="B54" s="221"/>
      <c r="C54" s="221"/>
      <c r="D54" s="221"/>
      <c r="E54" s="221"/>
      <c r="F54" s="221"/>
    </row>
    <row r="55" spans="1:17" x14ac:dyDescent="0.35">
      <c r="A55" s="181" t="s">
        <v>343</v>
      </c>
      <c r="B55" s="221">
        <f>0.95*B49</f>
        <v>10047.618</v>
      </c>
      <c r="C55" s="221">
        <f>C49*0.95</f>
        <v>8749.0078999999987</v>
      </c>
      <c r="D55" s="221">
        <f>0.95*D49</f>
        <v>9658.896999999999</v>
      </c>
      <c r="E55" s="221">
        <f>E49*0.95</f>
        <v>10301.619499999999</v>
      </c>
      <c r="F55" s="221">
        <f>0.95*F49</f>
        <v>12384.836499999999</v>
      </c>
    </row>
    <row r="56" spans="1:17" x14ac:dyDescent="0.35">
      <c r="A56" s="181" t="s">
        <v>344</v>
      </c>
      <c r="B56" s="221">
        <v>9120.0020000000004</v>
      </c>
      <c r="C56" s="221">
        <f>9065.598</f>
        <v>9065.598</v>
      </c>
      <c r="D56" s="221">
        <v>9113.6</v>
      </c>
      <c r="E56" s="221">
        <f>9378.432</f>
        <v>9378.4320000000007</v>
      </c>
      <c r="F56" s="221">
        <v>10051.008</v>
      </c>
    </row>
    <row r="57" spans="1:17" x14ac:dyDescent="0.35">
      <c r="A57" s="181" t="s">
        <v>345</v>
      </c>
      <c r="B57" s="221">
        <f>B51</f>
        <v>136.322</v>
      </c>
      <c r="C57" s="221">
        <f>C51</f>
        <v>5783.4470000000001</v>
      </c>
      <c r="D57" s="221">
        <f>D51</f>
        <v>6232.6379999999999</v>
      </c>
      <c r="E57" s="221">
        <v>16266.24</v>
      </c>
      <c r="F57" s="221">
        <f>F51</f>
        <v>17976.259999999998</v>
      </c>
    </row>
    <row r="58" spans="1:17" x14ac:dyDescent="0.35">
      <c r="A58" s="181" t="s">
        <v>346</v>
      </c>
      <c r="B58" s="221">
        <f>B50</f>
        <v>15875.22</v>
      </c>
      <c r="C58" s="221">
        <f>C50</f>
        <v>8280.7870000000003</v>
      </c>
      <c r="D58" s="221">
        <f>D50</f>
        <v>11261.34</v>
      </c>
      <c r="E58" s="222">
        <v>11367.58</v>
      </c>
      <c r="F58" s="221">
        <f>F50</f>
        <v>11367.58</v>
      </c>
    </row>
    <row r="59" spans="1:17" x14ac:dyDescent="0.35">
      <c r="B59" s="221"/>
      <c r="C59" s="221"/>
      <c r="D59" s="221"/>
      <c r="E59" s="222"/>
      <c r="F59" s="221"/>
    </row>
    <row r="60" spans="1:17" x14ac:dyDescent="0.35">
      <c r="A60" s="181" t="s">
        <v>347</v>
      </c>
      <c r="B60" s="221">
        <f>B49-B55</f>
        <v>528.82200000000012</v>
      </c>
      <c r="C60" s="221">
        <f t="shared" ref="C60:F60" si="4">C49-C55</f>
        <v>460.47410000000127</v>
      </c>
      <c r="D60" s="221">
        <f t="shared" si="4"/>
        <v>508.36300000000119</v>
      </c>
      <c r="E60" s="221">
        <f t="shared" si="4"/>
        <v>542.19050000000061</v>
      </c>
      <c r="F60" s="221">
        <f t="shared" si="4"/>
        <v>651.83350000000064</v>
      </c>
    </row>
    <row r="61" spans="1:17" x14ac:dyDescent="0.35">
      <c r="A61" s="181" t="s">
        <v>348</v>
      </c>
      <c r="B61" s="221">
        <f>B52-B56</f>
        <v>34775.337999999996</v>
      </c>
      <c r="C61" s="221">
        <f t="shared" ref="C61:F61" si="5">C52-C56</f>
        <v>30461.312000000005</v>
      </c>
      <c r="D61" s="221">
        <f t="shared" si="5"/>
        <v>33371.620000000003</v>
      </c>
      <c r="E61" s="221">
        <f t="shared" si="5"/>
        <v>31613.237999999998</v>
      </c>
      <c r="F61" s="221">
        <f t="shared" si="5"/>
        <v>30075.402000000002</v>
      </c>
    </row>
    <row r="62" spans="1:17" x14ac:dyDescent="0.35">
      <c r="E62" s="223"/>
    </row>
    <row r="63" spans="1:17" ht="46" x14ac:dyDescent="0.6">
      <c r="A63" s="224" t="s">
        <v>349</v>
      </c>
      <c r="G63" s="181" t="s">
        <v>350</v>
      </c>
      <c r="J63" s="225" t="s">
        <v>351</v>
      </c>
      <c r="O63" s="226"/>
      <c r="P63" s="226" t="s">
        <v>352</v>
      </c>
    </row>
    <row r="64" spans="1:17" s="220" customFormat="1" x14ac:dyDescent="0.35">
      <c r="A64" s="220" t="s">
        <v>97</v>
      </c>
      <c r="B64" s="220">
        <v>2019</v>
      </c>
      <c r="C64" s="220">
        <v>2020</v>
      </c>
      <c r="D64" s="220">
        <v>2021</v>
      </c>
      <c r="E64" s="220">
        <v>2022</v>
      </c>
      <c r="F64" s="220">
        <v>2023</v>
      </c>
      <c r="H64" s="220">
        <v>2024</v>
      </c>
      <c r="I64" s="182">
        <f>I24</f>
        <v>2028</v>
      </c>
      <c r="J64" s="183">
        <f t="shared" ref="J64:P64" si="6">J24</f>
        <v>2030</v>
      </c>
      <c r="K64" s="220">
        <f t="shared" si="6"/>
        <v>2032</v>
      </c>
      <c r="L64" s="184">
        <f t="shared" si="6"/>
        <v>2036</v>
      </c>
      <c r="M64" s="183">
        <f t="shared" si="6"/>
        <v>2040</v>
      </c>
      <c r="N64" s="220">
        <f t="shared" si="6"/>
        <v>2044</v>
      </c>
      <c r="O64" s="182">
        <f t="shared" si="6"/>
        <v>2048</v>
      </c>
      <c r="P64" s="183">
        <f t="shared" si="6"/>
        <v>2050</v>
      </c>
      <c r="Q64" s="183">
        <v>2052</v>
      </c>
    </row>
    <row r="65" spans="1:25" x14ac:dyDescent="0.35">
      <c r="A65" s="181" t="s">
        <v>353</v>
      </c>
      <c r="B65" s="221">
        <f>(B49+B50+B51+B52)/3.6</f>
        <v>19578.700555555555</v>
      </c>
      <c r="C65" s="221">
        <f t="shared" ref="C65:F65" si="7">(C49+C50+C51+C52)/3.6</f>
        <v>17444.618333333336</v>
      </c>
      <c r="D65" s="221">
        <f t="shared" si="7"/>
        <v>19485.127222222221</v>
      </c>
      <c r="E65" s="221">
        <f t="shared" si="7"/>
        <v>22074.805555555551</v>
      </c>
      <c r="F65" s="221">
        <f t="shared" si="7"/>
        <v>22918.588888888888</v>
      </c>
      <c r="G65" s="227">
        <f>(F65/D65)^(1/(F64-B64))-1</f>
        <v>4.1408593708299968E-2</v>
      </c>
      <c r="H65" s="228">
        <f>L4*11.63</f>
        <v>16173.841000000002</v>
      </c>
      <c r="I65" s="229">
        <f>L5*11.63</f>
        <v>24462.542000000001</v>
      </c>
      <c r="J65" s="230">
        <f>(I65+K65)/2</f>
        <v>30530.494500000001</v>
      </c>
      <c r="K65" s="228">
        <f>L6*11.63</f>
        <v>36598.447</v>
      </c>
      <c r="L65" s="231">
        <f>L7*11.63</f>
        <v>54366.760999999999</v>
      </c>
      <c r="M65" s="230">
        <f>L8*11.63</f>
        <v>80381.90800000001</v>
      </c>
      <c r="N65" s="228">
        <f>L9*11.63</f>
        <v>118468.99500000001</v>
      </c>
      <c r="O65" s="229">
        <f>L10*11.63</f>
        <v>174233.682</v>
      </c>
      <c r="P65" s="230">
        <f>(O65+Q65)/2</f>
        <v>215055.56349999999</v>
      </c>
      <c r="Q65" s="230">
        <f>L11*11.63</f>
        <v>255877.44500000001</v>
      </c>
      <c r="R65" s="221"/>
      <c r="S65" s="221" t="s">
        <v>354</v>
      </c>
      <c r="T65" s="221"/>
      <c r="U65" s="221"/>
      <c r="V65" s="221"/>
      <c r="W65" s="221"/>
      <c r="X65" s="221"/>
      <c r="Y65" s="221"/>
    </row>
    <row r="66" spans="1:25" x14ac:dyDescent="0.35">
      <c r="A66" s="181" t="s">
        <v>355</v>
      </c>
      <c r="B66" s="221">
        <f>B49/3.6</f>
        <v>2937.9</v>
      </c>
      <c r="C66" s="221">
        <f t="shared" ref="C66:F66" si="8">C49/3.6</f>
        <v>2558.1894444444442</v>
      </c>
      <c r="D66" s="221">
        <f t="shared" si="8"/>
        <v>2824.2388888888891</v>
      </c>
      <c r="E66" s="221">
        <f t="shared" si="8"/>
        <v>3012.1694444444443</v>
      </c>
      <c r="F66" s="221">
        <f t="shared" si="8"/>
        <v>3621.297222222222</v>
      </c>
      <c r="G66" s="227">
        <f>(F66/B66)^(1/(F64-B64))-1</f>
        <v>5.3675278227879542E-2</v>
      </c>
      <c r="H66" s="228"/>
      <c r="I66" s="229"/>
      <c r="J66" s="230"/>
      <c r="K66" s="228"/>
      <c r="L66" s="231"/>
      <c r="M66" s="230"/>
      <c r="N66" s="228"/>
      <c r="O66" s="229"/>
      <c r="P66" s="230"/>
      <c r="Q66" s="230"/>
      <c r="R66" s="221"/>
      <c r="S66" s="221"/>
      <c r="T66" s="221"/>
      <c r="U66" s="221"/>
      <c r="V66" s="221"/>
      <c r="W66" s="221"/>
      <c r="X66" s="221"/>
      <c r="Y66" s="221"/>
    </row>
    <row r="67" spans="1:25" x14ac:dyDescent="0.35">
      <c r="A67" s="181" t="s">
        <v>356</v>
      </c>
      <c r="B67" s="221">
        <f>(B50+B51+B52)/3.6</f>
        <v>16640.800555555554</v>
      </c>
      <c r="C67" s="221">
        <f t="shared" ref="C67:F67" si="9">(C50+C51+C52)/3.6</f>
        <v>14886.428888888888</v>
      </c>
      <c r="D67" s="221">
        <f t="shared" si="9"/>
        <v>16660.888333333332</v>
      </c>
      <c r="E67" s="221">
        <f t="shared" si="9"/>
        <v>19062.636111111107</v>
      </c>
      <c r="F67" s="221">
        <f t="shared" si="9"/>
        <v>19297.291666666668</v>
      </c>
      <c r="G67" s="227">
        <f>(F67/B67)^(1/(F64-B64))-1</f>
        <v>3.7720834851399765E-2</v>
      </c>
      <c r="H67" s="228"/>
      <c r="I67" s="229"/>
      <c r="J67" s="230"/>
      <c r="K67" s="228"/>
      <c r="L67" s="231"/>
      <c r="M67" s="230"/>
      <c r="N67" s="228"/>
      <c r="O67" s="229"/>
      <c r="P67" s="230"/>
      <c r="Q67" s="230"/>
      <c r="R67" s="221"/>
      <c r="S67" s="221"/>
      <c r="T67" s="221"/>
      <c r="U67" s="221"/>
      <c r="V67" s="221"/>
      <c r="W67" s="221"/>
      <c r="X67" s="221"/>
      <c r="Y67" s="221"/>
    </row>
    <row r="68" spans="1:25" s="232" customFormat="1" x14ac:dyDescent="0.35">
      <c r="A68" s="232" t="s">
        <v>357</v>
      </c>
      <c r="B68" s="233">
        <f>B55/3.6</f>
        <v>2791.0050000000001</v>
      </c>
      <c r="C68" s="233">
        <f t="shared" ref="C68:F68" si="10">C55/3.6</f>
        <v>2430.2799722222217</v>
      </c>
      <c r="D68" s="233">
        <f t="shared" si="10"/>
        <v>2683.0269444444443</v>
      </c>
      <c r="E68" s="233">
        <f t="shared" si="10"/>
        <v>2861.5609722222221</v>
      </c>
      <c r="F68" s="233">
        <f t="shared" si="10"/>
        <v>3440.232361111111</v>
      </c>
      <c r="G68" s="227">
        <f>(F68/B68)^(1/(F64-B64))-1</f>
        <v>5.3675278227879542E-2</v>
      </c>
      <c r="H68" s="233"/>
      <c r="I68" s="233"/>
      <c r="J68" s="233">
        <f>J26*0.95</f>
        <v>26790</v>
      </c>
      <c r="K68" s="233">
        <f>E68*(1+G68)^(J64-E64)</f>
        <v>4347.6775685872717</v>
      </c>
      <c r="L68" s="233"/>
      <c r="M68" s="233">
        <f>M26*0.95</f>
        <v>44555</v>
      </c>
      <c r="N68" s="233">
        <f>E68*(1+G68)^(M64-E64)</f>
        <v>7333.7353602111407</v>
      </c>
      <c r="O68" s="233"/>
      <c r="P68" s="233">
        <f>P26*0.95</f>
        <v>65835</v>
      </c>
      <c r="Q68" s="233"/>
      <c r="S68" s="232" t="s">
        <v>358</v>
      </c>
    </row>
    <row r="69" spans="1:25" s="234" customFormat="1" x14ac:dyDescent="0.35">
      <c r="A69" s="234" t="s">
        <v>359</v>
      </c>
      <c r="B69" s="235">
        <f t="shared" ref="B69:F71" si="11">B56/3.6</f>
        <v>2533.3338888888889</v>
      </c>
      <c r="C69" s="235">
        <f t="shared" si="11"/>
        <v>2518.2216666666668</v>
      </c>
      <c r="D69" s="235">
        <f t="shared" si="11"/>
        <v>2531.5555555555557</v>
      </c>
      <c r="E69" s="235">
        <f t="shared" si="11"/>
        <v>2605.1200000000003</v>
      </c>
      <c r="F69" s="235">
        <f t="shared" si="11"/>
        <v>2791.9466666666667</v>
      </c>
      <c r="G69" s="227">
        <f>(F69/B69)^(1/(F64-B64))-1</f>
        <v>2.4598395095139836E-2</v>
      </c>
      <c r="I69" s="236"/>
      <c r="J69" s="237"/>
      <c r="L69" s="238"/>
      <c r="M69" s="237"/>
      <c r="O69" s="236"/>
      <c r="P69" s="237"/>
      <c r="Q69" s="237"/>
    </row>
    <row r="70" spans="1:25" s="239" customFormat="1" x14ac:dyDescent="0.35">
      <c r="A70" s="239" t="s">
        <v>360</v>
      </c>
      <c r="B70" s="240">
        <f>B58/3.6</f>
        <v>4409.7833333333328</v>
      </c>
      <c r="C70" s="240">
        <f t="shared" si="11"/>
        <v>1606.5130555555556</v>
      </c>
      <c r="D70" s="240">
        <f t="shared" si="11"/>
        <v>1731.2883333333332</v>
      </c>
      <c r="E70" s="240">
        <f t="shared" si="11"/>
        <v>4518.3999999999996</v>
      </c>
      <c r="F70" s="240">
        <f t="shared" si="11"/>
        <v>4993.4055555555551</v>
      </c>
      <c r="G70" s="227">
        <f>(F70/B70)^(1/(F64-B64))-1</f>
        <v>3.1560958665195482E-2</v>
      </c>
      <c r="I70" s="241"/>
      <c r="J70" s="242"/>
      <c r="L70" s="243"/>
      <c r="M70" s="242"/>
      <c r="O70" s="241"/>
      <c r="P70" s="242"/>
      <c r="Q70" s="242"/>
    </row>
    <row r="71" spans="1:25" s="244" customFormat="1" x14ac:dyDescent="0.35">
      <c r="A71" s="244" t="s">
        <v>361</v>
      </c>
      <c r="B71" s="245">
        <f>B57/3.6</f>
        <v>37.867222222222225</v>
      </c>
      <c r="C71" s="245">
        <f t="shared" si="11"/>
        <v>2300.2186111111109</v>
      </c>
      <c r="D71" s="245">
        <f t="shared" si="11"/>
        <v>3128.15</v>
      </c>
      <c r="E71" s="245">
        <f t="shared" si="11"/>
        <v>3157.661111111111</v>
      </c>
      <c r="F71" s="245">
        <f t="shared" si="11"/>
        <v>3157.661111111111</v>
      </c>
      <c r="G71" s="227">
        <f>(F71/C71)^(1/(F64-C64))-1</f>
        <v>0.11138739921046215</v>
      </c>
      <c r="I71" s="246"/>
      <c r="J71" s="247"/>
      <c r="L71" s="248"/>
      <c r="M71" s="247"/>
      <c r="O71" s="246"/>
      <c r="P71" s="247"/>
      <c r="Q71" s="247"/>
    </row>
    <row r="72" spans="1:25" s="244" customFormat="1" x14ac:dyDescent="0.35">
      <c r="A72" s="244" t="s">
        <v>362</v>
      </c>
      <c r="B72" s="245">
        <f>B69+B70+B71</f>
        <v>6980.9844444444434</v>
      </c>
      <c r="C72" s="245">
        <f t="shared" ref="C72:F72" si="12">C69+C70+C71</f>
        <v>6424.9533333333329</v>
      </c>
      <c r="D72" s="245">
        <f t="shared" si="12"/>
        <v>7390.9938888888883</v>
      </c>
      <c r="E72" s="245">
        <f t="shared" si="12"/>
        <v>10281.181111111111</v>
      </c>
      <c r="F72" s="245">
        <f t="shared" si="12"/>
        <v>10943.013333333332</v>
      </c>
      <c r="G72" s="227">
        <f>(F72/B72)^(1/(F64-B64))-1</f>
        <v>0.11893553034658932</v>
      </c>
      <c r="I72" s="246"/>
      <c r="J72" s="247"/>
      <c r="L72" s="248"/>
      <c r="M72" s="247"/>
      <c r="O72" s="246"/>
      <c r="P72" s="247"/>
      <c r="Q72" s="247"/>
    </row>
    <row r="73" spans="1:25" s="244" customFormat="1" x14ac:dyDescent="0.35">
      <c r="B73" s="245"/>
      <c r="C73" s="245"/>
      <c r="D73" s="245"/>
      <c r="E73" s="245"/>
      <c r="F73" s="245"/>
      <c r="G73" s="227"/>
      <c r="I73" s="246"/>
      <c r="J73" s="247"/>
      <c r="L73" s="248"/>
      <c r="M73" s="247"/>
      <c r="O73" s="246"/>
      <c r="P73" s="247"/>
      <c r="Q73" s="247"/>
    </row>
    <row r="75" spans="1:25" s="183" customFormat="1" x14ac:dyDescent="0.35">
      <c r="A75" s="183" t="s">
        <v>363</v>
      </c>
      <c r="B75" s="249">
        <f>B60/3.6</f>
        <v>146.89500000000004</v>
      </c>
      <c r="C75" s="249">
        <f t="shared" ref="C75:F76" si="13">C60/3.6</f>
        <v>127.90947222222258</v>
      </c>
      <c r="D75" s="249">
        <f t="shared" si="13"/>
        <v>141.21194444444478</v>
      </c>
      <c r="E75" s="249">
        <f t="shared" si="13"/>
        <v>150.60847222222239</v>
      </c>
      <c r="F75" s="249">
        <f t="shared" si="13"/>
        <v>181.0648611111113</v>
      </c>
      <c r="I75" s="182"/>
      <c r="L75" s="184"/>
      <c r="O75" s="182"/>
    </row>
    <row r="76" spans="1:25" s="183" customFormat="1" x14ac:dyDescent="0.35">
      <c r="A76" s="183" t="s">
        <v>364</v>
      </c>
      <c r="B76" s="249">
        <f>B61/3.6</f>
        <v>9659.8161111111094</v>
      </c>
      <c r="C76" s="249">
        <f t="shared" si="13"/>
        <v>8461.4755555555566</v>
      </c>
      <c r="D76" s="249">
        <f t="shared" si="13"/>
        <v>9269.8944444444442</v>
      </c>
      <c r="E76" s="249">
        <f t="shared" si="13"/>
        <v>8781.4549999999999</v>
      </c>
      <c r="F76" s="249">
        <f t="shared" si="13"/>
        <v>8354.2783333333336</v>
      </c>
      <c r="I76" s="182"/>
      <c r="L76" s="184"/>
      <c r="O76" s="182"/>
    </row>
    <row r="78" spans="1:25" x14ac:dyDescent="0.35">
      <c r="A78" s="181" t="s">
        <v>365</v>
      </c>
      <c r="B78" s="181">
        <f>B68/(B68+B75)</f>
        <v>0.95</v>
      </c>
      <c r="C78" s="181">
        <f t="shared" ref="C78:F79" si="14">C68/(C68+C75)</f>
        <v>0.94999999999999984</v>
      </c>
      <c r="D78" s="181">
        <f t="shared" si="14"/>
        <v>0.95</v>
      </c>
      <c r="E78" s="181">
        <f t="shared" si="14"/>
        <v>0.95</v>
      </c>
      <c r="F78" s="181">
        <f t="shared" si="14"/>
        <v>0.95</v>
      </c>
    </row>
    <row r="79" spans="1:25" x14ac:dyDescent="0.35">
      <c r="A79" s="181" t="s">
        <v>366</v>
      </c>
      <c r="B79" s="209">
        <f>B69/(B69+B76)</f>
        <v>0.2077669748087155</v>
      </c>
      <c r="C79" s="209">
        <f t="shared" si="14"/>
        <v>0.22935256006604107</v>
      </c>
      <c r="D79" s="209">
        <f t="shared" si="14"/>
        <v>0.21451224684725653</v>
      </c>
      <c r="E79" s="209">
        <f t="shared" si="14"/>
        <v>0.22878872707552536</v>
      </c>
      <c r="F79" s="209">
        <f t="shared" si="14"/>
        <v>0.2504836091741075</v>
      </c>
    </row>
    <row r="80" spans="1:25" x14ac:dyDescent="0.35">
      <c r="A80" s="181" t="s">
        <v>367</v>
      </c>
      <c r="B80" s="209">
        <f>B70/(B70+B71)</f>
        <v>0.9914860167746492</v>
      </c>
      <c r="C80" s="209">
        <f t="shared" ref="C80:F80" si="15">C70/(C70+C71)</f>
        <v>0.4112166364695013</v>
      </c>
      <c r="D80" s="209">
        <f t="shared" si="15"/>
        <v>0.3562733416036078</v>
      </c>
      <c r="E80" s="209">
        <f t="shared" si="15"/>
        <v>0.58863523030836851</v>
      </c>
      <c r="F80" s="209">
        <f t="shared" si="15"/>
        <v>0.61260762054318729</v>
      </c>
    </row>
    <row r="81" spans="1:17" x14ac:dyDescent="0.35">
      <c r="A81" s="181" t="s">
        <v>368</v>
      </c>
      <c r="B81" s="209">
        <f>B71/(B71+B70)</f>
        <v>8.5139832253508137E-3</v>
      </c>
      <c r="C81" s="209">
        <f t="shared" ref="C81:F81" si="16">C71/(C71+C70)</f>
        <v>0.58878336353049865</v>
      </c>
      <c r="D81" s="209">
        <f t="shared" si="16"/>
        <v>0.6437266583963922</v>
      </c>
      <c r="E81" s="209">
        <f t="shared" si="16"/>
        <v>0.41136476969163155</v>
      </c>
      <c r="F81" s="209">
        <f t="shared" si="16"/>
        <v>0.38739237945681276</v>
      </c>
    </row>
    <row r="82" spans="1:17" x14ac:dyDescent="0.35">
      <c r="A82" s="181" t="s">
        <v>369</v>
      </c>
      <c r="B82" s="209">
        <f>SUM(B69:B71)/(B65-B68)</f>
        <v>0.41583935218161766</v>
      </c>
      <c r="C82" s="209">
        <f t="shared" ref="C82:F82" si="17">SUM(C69:C71)/(C65-C68)</f>
        <v>0.4279211763319995</v>
      </c>
      <c r="D82" s="209">
        <f t="shared" si="17"/>
        <v>0.43988511952068954</v>
      </c>
      <c r="E82" s="209">
        <f t="shared" si="17"/>
        <v>0.53510905284730503</v>
      </c>
      <c r="F82" s="209">
        <f t="shared" si="17"/>
        <v>0.56180372906346965</v>
      </c>
      <c r="J82" s="183">
        <f>AVERAGE(B82:F82)*(J65-J68)</f>
        <v>1780.8931428276426</v>
      </c>
      <c r="M82" s="183">
        <f>AVERAGE(B82:F82)*(M65-M68)</f>
        <v>17057.609571653378</v>
      </c>
      <c r="P82" s="183">
        <f>AVERAGE(B82:F82)*(P65-P68)</f>
        <v>71045.654072216043</v>
      </c>
    </row>
    <row r="84" spans="1:17" s="183" customFormat="1" x14ac:dyDescent="0.35">
      <c r="A84" s="183" t="s">
        <v>370</v>
      </c>
      <c r="B84" s="216">
        <f>B75/(B75+B68)</f>
        <v>5.000000000000001E-2</v>
      </c>
      <c r="C84" s="216">
        <f t="shared" ref="C84:F85" si="18">C75/(C75+C68)</f>
        <v>5.0000000000000142E-2</v>
      </c>
      <c r="D84" s="216">
        <f t="shared" si="18"/>
        <v>5.0000000000000114E-2</v>
      </c>
      <c r="E84" s="216">
        <f t="shared" si="18"/>
        <v>5.0000000000000058E-2</v>
      </c>
      <c r="F84" s="216">
        <f t="shared" si="18"/>
        <v>5.0000000000000051E-2</v>
      </c>
      <c r="I84" s="182"/>
      <c r="L84" s="184"/>
      <c r="O84" s="182"/>
    </row>
    <row r="85" spans="1:17" s="183" customFormat="1" x14ac:dyDescent="0.35">
      <c r="A85" s="183" t="s">
        <v>371</v>
      </c>
      <c r="B85" s="216">
        <f>B76/(B76+B69)</f>
        <v>0.79223302519128458</v>
      </c>
      <c r="C85" s="216">
        <f t="shared" si="18"/>
        <v>0.77064743993395901</v>
      </c>
      <c r="D85" s="216">
        <f t="shared" si="18"/>
        <v>0.78548775315274344</v>
      </c>
      <c r="E85" s="216">
        <f t="shared" si="18"/>
        <v>0.77121127292447456</v>
      </c>
      <c r="F85" s="216">
        <f t="shared" si="18"/>
        <v>0.7495163908258925</v>
      </c>
      <c r="I85" s="182"/>
      <c r="L85" s="184"/>
      <c r="O85" s="182"/>
    </row>
    <row r="86" spans="1:17" s="183" customFormat="1" x14ac:dyDescent="0.35">
      <c r="A86" s="183" t="s">
        <v>372</v>
      </c>
      <c r="B86" s="216">
        <f>(B75+B76)/B65</f>
        <v>0.50088672040741777</v>
      </c>
      <c r="C86" s="216">
        <f t="shared" ref="C86:F86" si="19">(C75+C76)/C65</f>
        <v>0.49238022085958183</v>
      </c>
      <c r="D86" s="216">
        <f t="shared" si="19"/>
        <v>0.48298921949843859</v>
      </c>
      <c r="E86" s="216">
        <f t="shared" si="19"/>
        <v>0.40462705094923457</v>
      </c>
      <c r="F86" s="216">
        <f t="shared" si="19"/>
        <v>0.37242010124726516</v>
      </c>
      <c r="I86" s="182"/>
      <c r="L86" s="184"/>
      <c r="O86" s="182"/>
    </row>
    <row r="88" spans="1:17" x14ac:dyDescent="0.35">
      <c r="A88" s="181" t="s">
        <v>373</v>
      </c>
      <c r="B88" s="209">
        <f>B68/B65</f>
        <v>0.14255312767465758</v>
      </c>
      <c r="C88" s="209">
        <f t="shared" ref="C88:F88" si="20">C68/C65</f>
        <v>0.1393140237168973</v>
      </c>
      <c r="D88" s="209">
        <f t="shared" si="20"/>
        <v>0.13769614710980846</v>
      </c>
      <c r="E88" s="209">
        <f t="shared" si="20"/>
        <v>0.12963017794292891</v>
      </c>
      <c r="F88" s="209">
        <f t="shared" si="20"/>
        <v>0.15010663954005313</v>
      </c>
    </row>
    <row r="89" spans="1:17" x14ac:dyDescent="0.35">
      <c r="A89" s="181" t="s">
        <v>374</v>
      </c>
      <c r="B89" s="209">
        <f>B69/B65</f>
        <v>0.12939234050290649</v>
      </c>
      <c r="C89" s="209">
        <f t="shared" ref="C89:F89" si="21">C69/C65</f>
        <v>0.14435521709608434</v>
      </c>
      <c r="D89" s="209">
        <f t="shared" si="21"/>
        <v>0.12992245453077617</v>
      </c>
      <c r="E89" s="209">
        <f t="shared" si="21"/>
        <v>0.11801327053340099</v>
      </c>
      <c r="F89" s="209">
        <f t="shared" si="21"/>
        <v>0.12182018187080551</v>
      </c>
    </row>
    <row r="90" spans="1:17" x14ac:dyDescent="0.35">
      <c r="A90" s="181" t="s">
        <v>375</v>
      </c>
      <c r="B90" s="209">
        <f>(B70+B71)/B65</f>
        <v>0.22716781141501813</v>
      </c>
      <c r="C90" s="209">
        <f t="shared" ref="C90:F90" si="22">(C70+C71)/C65</f>
        <v>0.22395053832743639</v>
      </c>
      <c r="D90" s="209">
        <f t="shared" si="22"/>
        <v>0.24939217886097687</v>
      </c>
      <c r="E90" s="209">
        <f t="shared" si="22"/>
        <v>0.34772950057443569</v>
      </c>
      <c r="F90" s="209">
        <f t="shared" si="22"/>
        <v>0.35565307734187629</v>
      </c>
    </row>
    <row r="92" spans="1:17" s="239" customFormat="1" x14ac:dyDescent="0.35">
      <c r="A92" s="239" t="s">
        <v>376</v>
      </c>
      <c r="B92" s="250">
        <f>B69/(B$69+B$70+B$71)</f>
        <v>0.36289063656415227</v>
      </c>
      <c r="C92" s="250">
        <f t="shared" ref="C92:F92" si="23">C69/(C$69+C$70+C$71)</f>
        <v>0.39194396223889566</v>
      </c>
      <c r="D92" s="250">
        <f t="shared" si="23"/>
        <v>0.34251896207914906</v>
      </c>
      <c r="E92" s="250">
        <f t="shared" si="23"/>
        <v>0.25338722972058014</v>
      </c>
      <c r="F92" s="250">
        <f t="shared" si="23"/>
        <v>0.25513508771502308</v>
      </c>
      <c r="I92" s="241"/>
      <c r="J92" s="242"/>
      <c r="L92" s="243"/>
      <c r="M92" s="242"/>
      <c r="O92" s="241"/>
      <c r="P92" s="242"/>
      <c r="Q92" s="242"/>
    </row>
    <row r="93" spans="1:17" s="239" customFormat="1" x14ac:dyDescent="0.35">
      <c r="A93" s="239" t="s">
        <v>377</v>
      </c>
      <c r="B93" s="250">
        <f t="shared" ref="B93:F94" si="24">B70/(B$69+B$70+B$71)</f>
        <v>0.63168502500284107</v>
      </c>
      <c r="C93" s="250">
        <f t="shared" si="24"/>
        <v>0.25004275863309344</v>
      </c>
      <c r="D93" s="250">
        <f t="shared" si="24"/>
        <v>0.23424296642106998</v>
      </c>
      <c r="E93" s="250">
        <f t="shared" si="24"/>
        <v>0.43948257998459533</v>
      </c>
      <c r="F93" s="250">
        <f t="shared" si="24"/>
        <v>0.45630992154100963</v>
      </c>
      <c r="I93" s="241"/>
      <c r="J93" s="242"/>
      <c r="L93" s="243"/>
      <c r="M93" s="242"/>
      <c r="O93" s="241"/>
      <c r="P93" s="242"/>
      <c r="Q93" s="242"/>
    </row>
    <row r="94" spans="1:17" s="239" customFormat="1" x14ac:dyDescent="0.35">
      <c r="A94" s="239" t="s">
        <v>378</v>
      </c>
      <c r="B94" s="250">
        <f t="shared" si="24"/>
        <v>5.4243384330067432E-3</v>
      </c>
      <c r="C94" s="250">
        <f t="shared" si="24"/>
        <v>0.35801327912801095</v>
      </c>
      <c r="D94" s="250">
        <f t="shared" si="24"/>
        <v>0.42323807149978104</v>
      </c>
      <c r="E94" s="250">
        <f t="shared" si="24"/>
        <v>0.30713019029482452</v>
      </c>
      <c r="F94" s="250">
        <f t="shared" si="24"/>
        <v>0.28855499074396734</v>
      </c>
      <c r="I94" s="241"/>
      <c r="J94" s="242"/>
      <c r="L94" s="243"/>
      <c r="M94" s="242"/>
      <c r="O94" s="241"/>
      <c r="P94" s="242"/>
      <c r="Q94" s="242"/>
    </row>
    <row r="95" spans="1:17" x14ac:dyDescent="0.35">
      <c r="B95" s="209">
        <f>SUM(B92:B94)</f>
        <v>1.0000000000000002</v>
      </c>
      <c r="C95" s="209">
        <f t="shared" ref="C95:F95" si="25">SUM(C92:C94)</f>
        <v>1</v>
      </c>
      <c r="D95" s="209">
        <f t="shared" si="25"/>
        <v>1</v>
      </c>
      <c r="E95" s="209">
        <f t="shared" si="25"/>
        <v>1</v>
      </c>
      <c r="F95" s="209">
        <f t="shared" si="25"/>
        <v>1</v>
      </c>
    </row>
    <row r="97" spans="1:19" s="183" customFormat="1" x14ac:dyDescent="0.35">
      <c r="A97" s="183" t="s">
        <v>379</v>
      </c>
      <c r="B97" s="216">
        <f>B75/B65</f>
        <v>7.5027961934030314E-3</v>
      </c>
      <c r="C97" s="216">
        <f t="shared" ref="C97:F97" si="26">C75/C65</f>
        <v>7.3323170377314582E-3</v>
      </c>
      <c r="D97" s="216">
        <f t="shared" si="26"/>
        <v>7.2471656373583569E-3</v>
      </c>
      <c r="E97" s="216">
        <f t="shared" si="26"/>
        <v>6.8226409443646885E-3</v>
      </c>
      <c r="F97" s="216">
        <f t="shared" si="26"/>
        <v>7.9003494494764882E-3</v>
      </c>
      <c r="I97" s="182"/>
      <c r="L97" s="184"/>
      <c r="O97" s="182"/>
    </row>
    <row r="98" spans="1:19" s="183" customFormat="1" x14ac:dyDescent="0.35">
      <c r="A98" s="183" t="s">
        <v>380</v>
      </c>
      <c r="B98" s="216">
        <f>B76/B65</f>
        <v>0.49338392421401467</v>
      </c>
      <c r="C98" s="216">
        <f t="shared" ref="C98:F98" si="27">C76/C65</f>
        <v>0.48504790382185042</v>
      </c>
      <c r="D98" s="216">
        <f t="shared" si="27"/>
        <v>0.47574205386108021</v>
      </c>
      <c r="E98" s="216">
        <f t="shared" si="27"/>
        <v>0.39780441000486988</v>
      </c>
      <c r="F98" s="216">
        <f t="shared" si="27"/>
        <v>0.36451975179778862</v>
      </c>
      <c r="I98" s="182"/>
      <c r="J98" s="183">
        <f>AVERAGE(B98:F98)*J65</f>
        <v>13534.156266486301</v>
      </c>
      <c r="L98" s="184"/>
      <c r="O98" s="182"/>
    </row>
    <row r="100" spans="1:19" x14ac:dyDescent="0.35">
      <c r="A100" s="181" t="s">
        <v>381</v>
      </c>
      <c r="C100" s="209">
        <f>(C65-B65)/B65</f>
        <v>-0.10900019723814934</v>
      </c>
      <c r="D100" s="209">
        <f t="shared" ref="D100:F100" si="28">(D65-C65)/C65</f>
        <v>0.11697068115212718</v>
      </c>
      <c r="E100" s="209">
        <f t="shared" si="28"/>
        <v>0.13290538490197162</v>
      </c>
      <c r="F100" s="209">
        <f t="shared" si="28"/>
        <v>3.8223817247666859E-2</v>
      </c>
    </row>
    <row r="101" spans="1:19" x14ac:dyDescent="0.35">
      <c r="A101" s="181" t="s">
        <v>382</v>
      </c>
      <c r="C101" s="209">
        <f>(C68-B68)/B68</f>
        <v>-0.12924556845214483</v>
      </c>
      <c r="D101" s="209">
        <f t="shared" ref="D101:F103" si="29">(D68-C68)/C68</f>
        <v>0.10399911743136063</v>
      </c>
      <c r="E101" s="209">
        <f t="shared" si="29"/>
        <v>6.6542018203527786E-2</v>
      </c>
      <c r="F101" s="209">
        <f t="shared" si="29"/>
        <v>0.20222228165192865</v>
      </c>
    </row>
    <row r="102" spans="1:19" x14ac:dyDescent="0.35">
      <c r="A102" s="181" t="s">
        <v>383</v>
      </c>
      <c r="C102" s="209">
        <f>(C69-B69)/B69</f>
        <v>-5.9653495690022177E-3</v>
      </c>
      <c r="D102" s="209">
        <f t="shared" si="29"/>
        <v>5.294962340046388E-3</v>
      </c>
      <c r="E102" s="209">
        <f t="shared" si="29"/>
        <v>2.905898876404504E-2</v>
      </c>
      <c r="F102" s="209">
        <f t="shared" si="29"/>
        <v>7.1715186504524298E-2</v>
      </c>
    </row>
    <row r="103" spans="1:19" x14ac:dyDescent="0.35">
      <c r="A103" s="181" t="s">
        <v>384</v>
      </c>
      <c r="C103" s="209">
        <f>(C70-B70)/B70</f>
        <v>-0.63569342661078077</v>
      </c>
      <c r="D103" s="209">
        <f t="shared" si="29"/>
        <v>7.7668387036312278E-2</v>
      </c>
      <c r="E103" s="209">
        <f t="shared" si="29"/>
        <v>1.6098483499282328</v>
      </c>
      <c r="F103" s="209">
        <f t="shared" si="29"/>
        <v>0.1051269377557444</v>
      </c>
    </row>
    <row r="106" spans="1:19" ht="21" x14ac:dyDescent="0.5">
      <c r="A106" s="251" t="s">
        <v>385</v>
      </c>
    </row>
    <row r="107" spans="1:19" s="220" customFormat="1" x14ac:dyDescent="0.35">
      <c r="A107" s="220" t="str">
        <f t="shared" ref="A107:P108" si="30">A64</f>
        <v>Year</v>
      </c>
      <c r="B107" s="220">
        <f t="shared" si="30"/>
        <v>2019</v>
      </c>
      <c r="C107" s="220">
        <f t="shared" si="30"/>
        <v>2020</v>
      </c>
      <c r="D107" s="220">
        <f t="shared" si="30"/>
        <v>2021</v>
      </c>
      <c r="E107" s="220">
        <f t="shared" si="30"/>
        <v>2022</v>
      </c>
      <c r="F107" s="220">
        <f t="shared" si="30"/>
        <v>2023</v>
      </c>
      <c r="G107" s="220">
        <f t="shared" si="30"/>
        <v>0</v>
      </c>
      <c r="H107" s="220">
        <f t="shared" si="30"/>
        <v>2024</v>
      </c>
      <c r="I107" s="182">
        <f t="shared" si="30"/>
        <v>2028</v>
      </c>
      <c r="J107" s="183">
        <f t="shared" si="30"/>
        <v>2030</v>
      </c>
      <c r="K107" s="220">
        <f t="shared" si="30"/>
        <v>2032</v>
      </c>
      <c r="L107" s="184">
        <f t="shared" si="30"/>
        <v>2036</v>
      </c>
      <c r="M107" s="183">
        <f t="shared" si="30"/>
        <v>2040</v>
      </c>
      <c r="N107" s="220">
        <f t="shared" si="30"/>
        <v>2044</v>
      </c>
      <c r="O107" s="182">
        <f t="shared" si="30"/>
        <v>2048</v>
      </c>
      <c r="P107" s="183">
        <f t="shared" si="30"/>
        <v>2050</v>
      </c>
      <c r="Q107" s="183"/>
      <c r="R107" s="220">
        <f>R64</f>
        <v>0</v>
      </c>
    </row>
    <row r="108" spans="1:19" x14ac:dyDescent="0.35">
      <c r="A108" s="181" t="str">
        <f t="shared" si="30"/>
        <v>Total Industry Consumption in GWh</v>
      </c>
      <c r="B108" s="181">
        <f t="shared" si="30"/>
        <v>19578.700555555555</v>
      </c>
      <c r="C108" s="181">
        <f t="shared" si="30"/>
        <v>17444.618333333336</v>
      </c>
      <c r="D108" s="181">
        <f t="shared" si="30"/>
        <v>19485.127222222221</v>
      </c>
      <c r="E108" s="181">
        <f t="shared" si="30"/>
        <v>22074.805555555551</v>
      </c>
      <c r="F108" s="181">
        <f t="shared" si="30"/>
        <v>22918.588888888888</v>
      </c>
      <c r="G108" s="181">
        <f>M4*11.63</f>
        <v>19959.406000000003</v>
      </c>
      <c r="I108" s="182">
        <f>M5*11.63</f>
        <v>30005.4</v>
      </c>
      <c r="J108" s="183">
        <f>M6*11.63</f>
        <v>44712.698000000004</v>
      </c>
      <c r="K108" s="181">
        <f>M7*11.63</f>
        <v>66246.805999999997</v>
      </c>
      <c r="L108" s="184">
        <f>M8*11.63</f>
        <v>97774.573000000004</v>
      </c>
      <c r="M108" s="183">
        <f>M9*11.63</f>
        <v>143935.20600000001</v>
      </c>
      <c r="N108" s="181">
        <f>M10*11.63</f>
        <v>211518.299</v>
      </c>
      <c r="O108" s="182">
        <f>(N108+P108)/2</f>
        <v>260992.31900000002</v>
      </c>
      <c r="P108" s="183">
        <f>M11*11.63</f>
        <v>310466.33900000004</v>
      </c>
      <c r="R108" s="181">
        <f>R65</f>
        <v>0</v>
      </c>
      <c r="S108" s="181" t="s">
        <v>386</v>
      </c>
    </row>
    <row r="109" spans="1:19" x14ac:dyDescent="0.35">
      <c r="A109" s="181" t="s">
        <v>387</v>
      </c>
      <c r="B109" s="181">
        <f>SUM(B110:B113)</f>
        <v>9771.9894444444453</v>
      </c>
      <c r="C109" s="181">
        <f t="shared" ref="C109:F109" si="31">SUM(C110:C113)</f>
        <v>8855.2333055555555</v>
      </c>
      <c r="D109" s="181">
        <f t="shared" si="31"/>
        <v>10074.020833333334</v>
      </c>
      <c r="E109" s="181">
        <f t="shared" si="31"/>
        <v>13142.742083333333</v>
      </c>
      <c r="F109" s="181">
        <f t="shared" si="31"/>
        <v>14383.245694444444</v>
      </c>
      <c r="O109" s="182">
        <f>O108*0.3</f>
        <v>78297.695699999997</v>
      </c>
      <c r="S109" s="181" t="s">
        <v>388</v>
      </c>
    </row>
    <row r="110" spans="1:19" x14ac:dyDescent="0.35">
      <c r="A110" s="181" t="str">
        <f t="shared" ref="A110:P113" si="32">A68</f>
        <v>Manufacturing Electricity consumption in GWh</v>
      </c>
      <c r="B110" s="181">
        <f t="shared" si="32"/>
        <v>2791.0050000000001</v>
      </c>
      <c r="C110" s="181">
        <f t="shared" si="32"/>
        <v>2430.2799722222217</v>
      </c>
      <c r="D110" s="181">
        <f t="shared" si="32"/>
        <v>2683.0269444444443</v>
      </c>
      <c r="E110" s="181">
        <f t="shared" si="32"/>
        <v>2861.5609722222221</v>
      </c>
      <c r="F110" s="181">
        <f t="shared" si="32"/>
        <v>3440.232361111111</v>
      </c>
      <c r="G110" s="181">
        <f t="shared" si="32"/>
        <v>5.3675278227879542E-2</v>
      </c>
      <c r="H110" s="181">
        <f t="shared" si="32"/>
        <v>0</v>
      </c>
      <c r="I110" s="182">
        <f t="shared" si="32"/>
        <v>0</v>
      </c>
      <c r="J110" s="183">
        <f t="shared" si="32"/>
        <v>26790</v>
      </c>
      <c r="K110" s="181">
        <f t="shared" si="32"/>
        <v>4347.6775685872717</v>
      </c>
      <c r="L110" s="184">
        <f t="shared" si="32"/>
        <v>0</v>
      </c>
      <c r="M110" s="183">
        <f t="shared" si="32"/>
        <v>44555</v>
      </c>
      <c r="N110" s="181">
        <f t="shared" si="32"/>
        <v>7333.7353602111407</v>
      </c>
      <c r="O110" s="182">
        <f t="shared" si="32"/>
        <v>0</v>
      </c>
      <c r="P110" s="183">
        <f t="shared" si="32"/>
        <v>65835</v>
      </c>
      <c r="R110" s="181">
        <f>R68</f>
        <v>0</v>
      </c>
    </row>
    <row r="111" spans="1:19" x14ac:dyDescent="0.35">
      <c r="A111" s="181" t="str">
        <f t="shared" si="32"/>
        <v>Manufacturing Oil Consumption in GWh</v>
      </c>
      <c r="B111" s="181">
        <f t="shared" si="32"/>
        <v>2533.3338888888889</v>
      </c>
      <c r="C111" s="181">
        <f t="shared" si="32"/>
        <v>2518.2216666666668</v>
      </c>
      <c r="D111" s="181">
        <f t="shared" si="32"/>
        <v>2531.5555555555557</v>
      </c>
      <c r="E111" s="181">
        <f t="shared" si="32"/>
        <v>2605.1200000000003</v>
      </c>
      <c r="F111" s="181">
        <f t="shared" si="32"/>
        <v>2791.9466666666667</v>
      </c>
      <c r="G111" s="181">
        <f t="shared" si="32"/>
        <v>2.4598395095139836E-2</v>
      </c>
      <c r="H111" s="181">
        <f t="shared" si="32"/>
        <v>0</v>
      </c>
      <c r="I111" s="182">
        <f t="shared" si="32"/>
        <v>0</v>
      </c>
      <c r="J111" s="183">
        <f t="shared" si="32"/>
        <v>0</v>
      </c>
      <c r="K111" s="181">
        <f t="shared" si="32"/>
        <v>0</v>
      </c>
      <c r="L111" s="184">
        <f t="shared" si="32"/>
        <v>0</v>
      </c>
      <c r="M111" s="183">
        <f t="shared" si="32"/>
        <v>0</v>
      </c>
      <c r="N111" s="181">
        <f t="shared" si="32"/>
        <v>0</v>
      </c>
      <c r="O111" s="182">
        <f t="shared" si="32"/>
        <v>0</v>
      </c>
      <c r="P111" s="183">
        <f t="shared" si="32"/>
        <v>0</v>
      </c>
      <c r="R111" s="181">
        <f>R69</f>
        <v>0</v>
      </c>
    </row>
    <row r="112" spans="1:19" x14ac:dyDescent="0.35">
      <c r="A112" s="181" t="str">
        <f t="shared" si="32"/>
        <v>Manufacturing Imported Coal Consumption in GWh</v>
      </c>
      <c r="B112" s="181">
        <f t="shared" si="32"/>
        <v>4409.7833333333328</v>
      </c>
      <c r="C112" s="181">
        <f t="shared" si="32"/>
        <v>1606.5130555555556</v>
      </c>
      <c r="D112" s="181">
        <f t="shared" si="32"/>
        <v>1731.2883333333332</v>
      </c>
      <c r="E112" s="181">
        <f t="shared" si="32"/>
        <v>4518.3999999999996</v>
      </c>
      <c r="F112" s="181">
        <f t="shared" si="32"/>
        <v>4993.4055555555551</v>
      </c>
      <c r="G112" s="181">
        <f t="shared" si="32"/>
        <v>3.1560958665195482E-2</v>
      </c>
      <c r="H112" s="181">
        <f t="shared" si="32"/>
        <v>0</v>
      </c>
      <c r="I112" s="182">
        <f t="shared" si="32"/>
        <v>0</v>
      </c>
      <c r="J112" s="183">
        <f t="shared" si="32"/>
        <v>0</v>
      </c>
      <c r="K112" s="181">
        <f t="shared" si="32"/>
        <v>0</v>
      </c>
      <c r="L112" s="184">
        <f t="shared" si="32"/>
        <v>0</v>
      </c>
      <c r="M112" s="183">
        <f t="shared" si="32"/>
        <v>0</v>
      </c>
      <c r="N112" s="181">
        <f t="shared" si="32"/>
        <v>0</v>
      </c>
      <c r="O112" s="182">
        <f t="shared" si="32"/>
        <v>0</v>
      </c>
      <c r="P112" s="183">
        <f t="shared" si="32"/>
        <v>0</v>
      </c>
      <c r="R112" s="181">
        <f>R70</f>
        <v>0</v>
      </c>
    </row>
    <row r="113" spans="1:18" x14ac:dyDescent="0.35">
      <c r="A113" s="181" t="str">
        <f t="shared" si="32"/>
        <v>Manufacturing Domestic  Coal Consumption in GWh</v>
      </c>
      <c r="B113" s="181">
        <f t="shared" si="32"/>
        <v>37.867222222222225</v>
      </c>
      <c r="C113" s="181">
        <f t="shared" si="32"/>
        <v>2300.2186111111109</v>
      </c>
      <c r="D113" s="181">
        <f t="shared" si="32"/>
        <v>3128.15</v>
      </c>
      <c r="E113" s="181">
        <f t="shared" si="32"/>
        <v>3157.661111111111</v>
      </c>
      <c r="F113" s="181">
        <f t="shared" si="32"/>
        <v>3157.661111111111</v>
      </c>
      <c r="G113" s="181">
        <f t="shared" si="32"/>
        <v>0.11138739921046215</v>
      </c>
      <c r="H113" s="181">
        <f t="shared" si="32"/>
        <v>0</v>
      </c>
      <c r="I113" s="182">
        <f t="shared" si="32"/>
        <v>0</v>
      </c>
      <c r="J113" s="183">
        <f t="shared" si="32"/>
        <v>0</v>
      </c>
      <c r="K113" s="181">
        <f t="shared" si="32"/>
        <v>0</v>
      </c>
      <c r="L113" s="184">
        <f t="shared" si="32"/>
        <v>0</v>
      </c>
      <c r="M113" s="183">
        <f t="shared" si="32"/>
        <v>0</v>
      </c>
      <c r="N113" s="181">
        <f t="shared" si="32"/>
        <v>0</v>
      </c>
      <c r="O113" s="182">
        <f t="shared" si="32"/>
        <v>0</v>
      </c>
      <c r="P113" s="183">
        <f t="shared" si="32"/>
        <v>0</v>
      </c>
      <c r="R113" s="181">
        <f>R71</f>
        <v>0</v>
      </c>
    </row>
    <row r="114" spans="1:18" x14ac:dyDescent="0.35">
      <c r="A114" s="181">
        <f t="shared" ref="A114:P114" si="33">A74</f>
        <v>0</v>
      </c>
      <c r="B114" s="181">
        <f t="shared" si="33"/>
        <v>0</v>
      </c>
      <c r="C114" s="181">
        <f t="shared" si="33"/>
        <v>0</v>
      </c>
      <c r="D114" s="181">
        <f t="shared" si="33"/>
        <v>0</v>
      </c>
      <c r="E114" s="181">
        <f t="shared" si="33"/>
        <v>0</v>
      </c>
      <c r="F114" s="181">
        <f t="shared" si="33"/>
        <v>0</v>
      </c>
      <c r="G114" s="181">
        <f t="shared" si="33"/>
        <v>0</v>
      </c>
      <c r="H114" s="181">
        <f t="shared" si="33"/>
        <v>0</v>
      </c>
      <c r="I114" s="182">
        <f t="shared" si="33"/>
        <v>0</v>
      </c>
      <c r="J114" s="183">
        <f t="shared" si="33"/>
        <v>0</v>
      </c>
      <c r="K114" s="181">
        <f t="shared" si="33"/>
        <v>0</v>
      </c>
      <c r="L114" s="184">
        <f t="shared" si="33"/>
        <v>0</v>
      </c>
      <c r="M114" s="183">
        <f t="shared" si="33"/>
        <v>0</v>
      </c>
      <c r="N114" s="181">
        <f t="shared" si="33"/>
        <v>0</v>
      </c>
      <c r="O114" s="182">
        <f t="shared" si="33"/>
        <v>0</v>
      </c>
      <c r="P114" s="183">
        <f t="shared" si="33"/>
        <v>0</v>
      </c>
      <c r="R114" s="181">
        <f>R74</f>
        <v>0</v>
      </c>
    </row>
    <row r="137" spans="1:1" x14ac:dyDescent="0.35">
      <c r="A137" s="181">
        <f>A104</f>
        <v>0</v>
      </c>
    </row>
    <row r="138" spans="1:1" x14ac:dyDescent="0.35">
      <c r="A138" s="181">
        <f>A105</f>
        <v>0</v>
      </c>
    </row>
    <row r="139" spans="1:1" x14ac:dyDescent="0.35">
      <c r="A139" s="181" t="str">
        <f>A106</f>
        <v>Structural Economic Growth scenario</v>
      </c>
    </row>
    <row r="140" spans="1:1" x14ac:dyDescent="0.35">
      <c r="A140" s="181" t="str">
        <f>A107</f>
        <v>Year</v>
      </c>
    </row>
  </sheetData>
  <mergeCells count="9">
    <mergeCell ref="A4:A11"/>
    <mergeCell ref="A12:A19"/>
    <mergeCell ref="A2:E2"/>
    <mergeCell ref="F2:I2"/>
    <mergeCell ref="J2:M2"/>
    <mergeCell ref="N2:R2"/>
    <mergeCell ref="W2:AA2"/>
    <mergeCell ref="AB2:AF2"/>
    <mergeCell ref="A3:E3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959CB-7164-414F-B6F7-22B95D131062}">
  <dimension ref="B3:I24"/>
  <sheetViews>
    <sheetView workbookViewId="0">
      <selection activeCell="B8" sqref="B8"/>
    </sheetView>
  </sheetViews>
  <sheetFormatPr defaultRowHeight="12.5" x14ac:dyDescent="0.25"/>
  <cols>
    <col min="2" max="2" width="14.453125" customWidth="1"/>
    <col min="3" max="3" width="9.54296875" bestFit="1" customWidth="1"/>
    <col min="4" max="4" width="13.36328125" bestFit="1" customWidth="1"/>
    <col min="5" max="5" width="9.54296875" bestFit="1" customWidth="1"/>
  </cols>
  <sheetData>
    <row r="3" spans="2:9" ht="17.399999999999999" customHeight="1" x14ac:dyDescent="0.35">
      <c r="B3" s="137" t="s">
        <v>254</v>
      </c>
      <c r="C3" s="137"/>
      <c r="D3" s="137"/>
      <c r="E3" s="137"/>
      <c r="F3" s="137"/>
      <c r="G3" s="137"/>
      <c r="H3" s="137"/>
    </row>
    <row r="4" spans="2:9" ht="17.399999999999999" customHeight="1" x14ac:dyDescent="0.35">
      <c r="B4" s="138"/>
      <c r="C4" s="138"/>
      <c r="D4" s="138"/>
      <c r="E4" s="138"/>
      <c r="F4" s="138"/>
      <c r="G4" s="138"/>
    </row>
    <row r="5" spans="2:9" ht="17.5" x14ac:dyDescent="0.35">
      <c r="B5" s="139" t="s">
        <v>255</v>
      </c>
      <c r="C5" s="140"/>
    </row>
    <row r="6" spans="2:9" ht="13.5" thickBot="1" x14ac:dyDescent="0.3">
      <c r="B6" s="141" t="s">
        <v>0</v>
      </c>
      <c r="C6" s="141" t="str">
        <f>PRI_Sector_Fuels!N5</f>
        <v>MANCOALMIN</v>
      </c>
      <c r="D6" s="141" t="str">
        <f>PRI_Sector_Fuels!N6</f>
        <v>MANCOALIMP</v>
      </c>
      <c r="E6" s="141" t="str">
        <f>PRI_Sector_Fuels!N7</f>
        <v>MANOILIMP</v>
      </c>
      <c r="F6" s="141" t="str">
        <f>PRI_Sector_Fuels!N8</f>
        <v>ELC</v>
      </c>
      <c r="G6" s="141"/>
      <c r="H6" s="141"/>
      <c r="I6" s="1"/>
    </row>
    <row r="7" spans="2:9" ht="13" thickBot="1" x14ac:dyDescent="0.3">
      <c r="B7" s="142" t="s">
        <v>87</v>
      </c>
      <c r="C7" s="142" t="s">
        <v>256</v>
      </c>
      <c r="D7" s="142" t="s">
        <v>256</v>
      </c>
      <c r="E7" s="142" t="s">
        <v>256</v>
      </c>
      <c r="F7" s="142" t="s">
        <v>256</v>
      </c>
      <c r="G7" s="142"/>
      <c r="H7" s="142"/>
      <c r="I7" s="1"/>
    </row>
    <row r="8" spans="2:9" ht="13" x14ac:dyDescent="0.25">
      <c r="B8" s="143" t="str">
        <f>DemTechs_INDF!P9</f>
        <v>MANCO2</v>
      </c>
      <c r="C8" s="144">
        <v>347494</v>
      </c>
      <c r="D8" s="144">
        <v>347494</v>
      </c>
      <c r="E8" s="144">
        <v>279515</v>
      </c>
      <c r="F8" s="144">
        <v>0</v>
      </c>
      <c r="G8" s="144"/>
      <c r="H8" s="144"/>
      <c r="I8" s="1"/>
    </row>
    <row r="23" spans="2:3" x14ac:dyDescent="0.25">
      <c r="B23" s="127"/>
      <c r="C23" s="1" t="s">
        <v>99</v>
      </c>
    </row>
    <row r="24" spans="2:3" x14ac:dyDescent="0.25">
      <c r="B24" s="47"/>
      <c r="C24" s="1" t="s">
        <v>100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48011-590A-4AB3-90B5-223EFB3CD02C}">
  <dimension ref="A1:N20"/>
  <sheetViews>
    <sheetView workbookViewId="0">
      <selection activeCell="G17" sqref="G17"/>
    </sheetView>
  </sheetViews>
  <sheetFormatPr defaultColWidth="19.36328125" defaultRowHeight="14.5" x14ac:dyDescent="0.35"/>
  <cols>
    <col min="1" max="1" width="19.36328125" style="252"/>
    <col min="2" max="6" width="7.54296875" style="181" bestFit="1" customWidth="1"/>
    <col min="7" max="8" width="19.36328125" style="181"/>
    <col min="9" max="9" width="8" style="181" bestFit="1" customWidth="1"/>
    <col min="10" max="10" width="20.1796875" style="181" bestFit="1" customWidth="1"/>
    <col min="11" max="11" width="23.1796875" style="181" bestFit="1" customWidth="1"/>
    <col min="12" max="12" width="20.1796875" style="181" bestFit="1" customWidth="1"/>
    <col min="13" max="14" width="24.1796875" style="181" bestFit="1" customWidth="1"/>
    <col min="15" max="16384" width="19.36328125" style="181"/>
  </cols>
  <sheetData>
    <row r="1" spans="1:14" ht="29" x14ac:dyDescent="0.35">
      <c r="I1" s="203" t="s">
        <v>97</v>
      </c>
      <c r="J1" s="252" t="s">
        <v>342</v>
      </c>
      <c r="K1" s="252" t="s">
        <v>357</v>
      </c>
      <c r="L1" s="252" t="s">
        <v>359</v>
      </c>
      <c r="M1" s="252" t="s">
        <v>360</v>
      </c>
      <c r="N1" s="252" t="s">
        <v>361</v>
      </c>
    </row>
    <row r="2" spans="1:14" x14ac:dyDescent="0.35">
      <c r="A2" s="252" t="s">
        <v>97</v>
      </c>
      <c r="B2" s="181">
        <v>2019</v>
      </c>
      <c r="C2" s="181">
        <v>2020</v>
      </c>
      <c r="D2" s="181">
        <v>2021</v>
      </c>
      <c r="E2" s="181">
        <v>2022</v>
      </c>
      <c r="F2" s="181">
        <v>2023</v>
      </c>
      <c r="I2" s="181">
        <v>2019</v>
      </c>
      <c r="J2" s="254">
        <v>19575.922777777778</v>
      </c>
      <c r="K2" s="254">
        <v>2791.0050000000001</v>
      </c>
      <c r="L2" s="254">
        <v>2533.3338888888889</v>
      </c>
      <c r="M2" s="254">
        <v>4409.7833333333328</v>
      </c>
      <c r="N2" s="254">
        <v>35.089444444444446</v>
      </c>
    </row>
    <row r="3" spans="1:14" ht="29" x14ac:dyDescent="0.35">
      <c r="A3" s="252" t="s">
        <v>342</v>
      </c>
      <c r="B3" s="221">
        <v>19575.922777777778</v>
      </c>
      <c r="C3" s="221">
        <v>17444.618333333336</v>
      </c>
      <c r="D3" s="221">
        <v>19485.127222222221</v>
      </c>
      <c r="E3" s="221">
        <v>22074.805555555551</v>
      </c>
      <c r="F3" s="221">
        <v>22918.588888888888</v>
      </c>
      <c r="I3" s="181">
        <v>2020</v>
      </c>
      <c r="J3" s="254">
        <v>17444.618333333336</v>
      </c>
      <c r="K3" s="254">
        <v>2430.2799722222217</v>
      </c>
      <c r="L3" s="254">
        <v>2518.2216666666668</v>
      </c>
      <c r="M3" s="254">
        <v>1606.5130555555556</v>
      </c>
      <c r="N3" s="254">
        <v>2300.2186111111109</v>
      </c>
    </row>
    <row r="4" spans="1:14" ht="43.5" x14ac:dyDescent="0.35">
      <c r="A4" s="252" t="s">
        <v>357</v>
      </c>
      <c r="B4" s="221">
        <v>2791.0050000000001</v>
      </c>
      <c r="C4" s="221">
        <v>2430.2799722222217</v>
      </c>
      <c r="D4" s="221">
        <v>2683.0269444444443</v>
      </c>
      <c r="E4" s="221">
        <v>2861.5609722222221</v>
      </c>
      <c r="F4" s="221">
        <v>3440.232361111111</v>
      </c>
      <c r="I4" s="181">
        <v>2021</v>
      </c>
      <c r="J4" s="254">
        <v>19485.127222222221</v>
      </c>
      <c r="K4" s="254">
        <v>2683.0269444444443</v>
      </c>
      <c r="L4" s="254">
        <v>2531.5555555555557</v>
      </c>
      <c r="M4" s="254">
        <v>1731.2883333333332</v>
      </c>
      <c r="N4" s="254">
        <v>3128.15</v>
      </c>
    </row>
    <row r="5" spans="1:14" ht="29" x14ac:dyDescent="0.35">
      <c r="A5" s="252" t="s">
        <v>359</v>
      </c>
      <c r="B5" s="221">
        <v>2533.3338888888889</v>
      </c>
      <c r="C5" s="221">
        <v>2518.2216666666668</v>
      </c>
      <c r="D5" s="221">
        <v>2531.5555555555557</v>
      </c>
      <c r="E5" s="221">
        <v>2605.1200000000003</v>
      </c>
      <c r="F5" s="221">
        <v>2791.9466666666667</v>
      </c>
      <c r="I5" s="181">
        <v>2022</v>
      </c>
      <c r="J5" s="254">
        <v>22074.805555555551</v>
      </c>
      <c r="K5" s="254">
        <v>2861.5609722222221</v>
      </c>
      <c r="L5" s="254">
        <v>2605.1200000000003</v>
      </c>
      <c r="M5" s="254">
        <v>4518.3999999999996</v>
      </c>
      <c r="N5" s="254">
        <v>3157.661111111111</v>
      </c>
    </row>
    <row r="6" spans="1:14" ht="43.5" x14ac:dyDescent="0.35">
      <c r="A6" s="252" t="s">
        <v>360</v>
      </c>
      <c r="B6" s="221">
        <v>4409.7833333333328</v>
      </c>
      <c r="C6" s="221">
        <v>1606.5130555555556</v>
      </c>
      <c r="D6" s="221">
        <v>1731.2883333333332</v>
      </c>
      <c r="E6" s="221">
        <v>4518.3999999999996</v>
      </c>
      <c r="F6" s="221">
        <v>4993.4055555555551</v>
      </c>
      <c r="I6" s="181">
        <v>2023</v>
      </c>
      <c r="J6" s="254">
        <v>22918.588888888888</v>
      </c>
      <c r="K6" s="254">
        <v>3440.232361111111</v>
      </c>
      <c r="L6" s="254">
        <v>2791.9466666666667</v>
      </c>
      <c r="M6" s="254">
        <v>4993.4055555555551</v>
      </c>
      <c r="N6" s="254">
        <v>3157.661111111111</v>
      </c>
    </row>
    <row r="7" spans="1:14" ht="43.5" x14ac:dyDescent="0.35">
      <c r="A7" s="252" t="s">
        <v>361</v>
      </c>
      <c r="B7" s="221">
        <v>35.089444444444446</v>
      </c>
      <c r="C7" s="221">
        <v>2300.2186111111109</v>
      </c>
      <c r="D7" s="221">
        <v>3128.15</v>
      </c>
      <c r="E7" s="221">
        <v>3157.661111111111</v>
      </c>
      <c r="F7" s="221">
        <v>3157.661111111111</v>
      </c>
      <c r="J7" s="181" t="s">
        <v>389</v>
      </c>
    </row>
    <row r="8" spans="1:14" x14ac:dyDescent="0.35">
      <c r="I8" s="181">
        <v>2019</v>
      </c>
      <c r="J8" s="181">
        <f>J2/J2-1</f>
        <v>0</v>
      </c>
      <c r="K8" s="181">
        <f>K2/K2-1</f>
        <v>0</v>
      </c>
      <c r="L8" s="181">
        <f t="shared" ref="L8:N8" si="0">L2/L2-1</f>
        <v>0</v>
      </c>
      <c r="M8" s="181">
        <f t="shared" si="0"/>
        <v>0</v>
      </c>
      <c r="N8" s="181">
        <f t="shared" si="0"/>
        <v>0</v>
      </c>
    </row>
    <row r="9" spans="1:14" x14ac:dyDescent="0.35">
      <c r="I9" s="181">
        <v>2020</v>
      </c>
      <c r="J9" s="209">
        <f>J3/J2-1</f>
        <v>-0.10887376644455604</v>
      </c>
      <c r="K9" s="209">
        <f t="shared" ref="K9:N9" si="1">K3/K2-1</f>
        <v>-0.12924556845214485</v>
      </c>
      <c r="L9" s="209">
        <f t="shared" si="1"/>
        <v>-5.9653495690021874E-3</v>
      </c>
      <c r="M9" s="209">
        <f t="shared" si="1"/>
        <v>-0.63569342661078077</v>
      </c>
      <c r="N9" s="209">
        <f t="shared" si="1"/>
        <v>64.553007393803128</v>
      </c>
    </row>
    <row r="10" spans="1:14" x14ac:dyDescent="0.35">
      <c r="I10" s="181">
        <v>2021</v>
      </c>
      <c r="J10" s="209">
        <f t="shared" ref="J10:N12" si="2">J4/J3-1</f>
        <v>0.11697068115212716</v>
      </c>
      <c r="K10" s="209">
        <f t="shared" si="2"/>
        <v>0.10399911743136059</v>
      </c>
      <c r="L10" s="209">
        <f t="shared" si="2"/>
        <v>5.2949623400464496E-3</v>
      </c>
      <c r="M10" s="209">
        <f t="shared" si="2"/>
        <v>7.7668387036312181E-2</v>
      </c>
      <c r="N10" s="209">
        <f t="shared" si="2"/>
        <v>0.35993595777792642</v>
      </c>
    </row>
    <row r="11" spans="1:14" x14ac:dyDescent="0.35">
      <c r="I11" s="181">
        <v>2022</v>
      </c>
      <c r="J11" s="209">
        <f t="shared" si="2"/>
        <v>0.13290538490197168</v>
      </c>
      <c r="K11" s="209">
        <f t="shared" si="2"/>
        <v>6.6542018203527675E-2</v>
      </c>
      <c r="L11" s="209">
        <f t="shared" si="2"/>
        <v>2.9058988764045113E-2</v>
      </c>
      <c r="M11" s="209">
        <f t="shared" si="2"/>
        <v>1.6098483499282326</v>
      </c>
      <c r="N11" s="209">
        <f t="shared" si="2"/>
        <v>9.4340460371500345E-3</v>
      </c>
    </row>
    <row r="12" spans="1:14" x14ac:dyDescent="0.35">
      <c r="I12" s="181">
        <v>2023</v>
      </c>
      <c r="J12" s="209">
        <f t="shared" si="2"/>
        <v>3.8223817247666769E-2</v>
      </c>
      <c r="K12" s="209">
        <f t="shared" si="2"/>
        <v>0.20222228165192857</v>
      </c>
      <c r="L12" s="209">
        <f t="shared" si="2"/>
        <v>7.1715186504524242E-2</v>
      </c>
      <c r="M12" s="209">
        <f t="shared" si="2"/>
        <v>0.10512693775574444</v>
      </c>
      <c r="N12" s="209">
        <f t="shared" si="2"/>
        <v>0</v>
      </c>
    </row>
    <row r="13" spans="1:14" x14ac:dyDescent="0.35">
      <c r="I13" s="181" t="s">
        <v>390</v>
      </c>
      <c r="J13" s="253">
        <f>AVERAGE(J9:J12)</f>
        <v>4.4806529214302393E-2</v>
      </c>
    </row>
    <row r="19" spans="9:12" x14ac:dyDescent="0.35">
      <c r="I19" s="181">
        <v>2050</v>
      </c>
      <c r="J19" s="181">
        <f>J6+J6*(1+0.04)^27</f>
        <v>89001.327900509059</v>
      </c>
      <c r="K19" s="221">
        <v>255877.44500000001</v>
      </c>
      <c r="L19" s="221">
        <f>-J19-K19</f>
        <v>-344878.77290050907</v>
      </c>
    </row>
    <row r="20" spans="9:12" x14ac:dyDescent="0.35">
      <c r="J20" s="181">
        <f>J5+0.04*J5*27</f>
        <v>45915.595555555541</v>
      </c>
      <c r="K20" s="181">
        <f>J20-'[2]Energybalance history'!O65</f>
        <v>-128318.08644444446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6F2F4-3FF6-43E8-A26E-915582679923}">
  <dimension ref="A1:AA53"/>
  <sheetViews>
    <sheetView workbookViewId="0">
      <pane xSplit="2" ySplit="2" topLeftCell="C23" activePane="bottomRight" state="frozen"/>
      <selection pane="topRight" activeCell="C1" sqref="C1"/>
      <selection pane="bottomLeft" activeCell="A3" sqref="A3"/>
      <selection pane="bottomRight" activeCell="H40" sqref="H40"/>
    </sheetView>
  </sheetViews>
  <sheetFormatPr defaultRowHeight="12.5" x14ac:dyDescent="0.25"/>
  <cols>
    <col min="1" max="1" width="21.36328125" bestFit="1" customWidth="1"/>
    <col min="2" max="2" width="18.36328125" bestFit="1" customWidth="1"/>
    <col min="3" max="3" width="20.54296875" bestFit="1" customWidth="1"/>
    <col min="4" max="4" width="11" bestFit="1" customWidth="1"/>
    <col min="5" max="5" width="11" customWidth="1"/>
    <col min="6" max="6" width="25.54296875" bestFit="1" customWidth="1"/>
    <col min="7" max="7" width="16" bestFit="1" customWidth="1"/>
    <col min="8" max="8" width="24.08984375" bestFit="1" customWidth="1"/>
    <col min="9" max="9" width="13.08984375" bestFit="1" customWidth="1"/>
    <col min="10" max="10" width="13.54296875" bestFit="1" customWidth="1"/>
    <col min="11" max="11" width="21.36328125" bestFit="1" customWidth="1"/>
    <col min="12" max="14" width="20.81640625" bestFit="1" customWidth="1"/>
    <col min="15" max="15" width="11.90625" bestFit="1" customWidth="1"/>
    <col min="16" max="16" width="9.6328125" bestFit="1" customWidth="1"/>
    <col min="24" max="24" width="13.54296875" bestFit="1" customWidth="1"/>
  </cols>
  <sheetData>
    <row r="1" spans="1:27" s="20" customFormat="1" ht="13" x14ac:dyDescent="0.3">
      <c r="A1" s="20" t="s">
        <v>410</v>
      </c>
      <c r="B1" s="20" t="s">
        <v>21</v>
      </c>
      <c r="C1" s="272" t="s">
        <v>393</v>
      </c>
      <c r="D1" s="272"/>
      <c r="E1" s="272"/>
      <c r="F1" s="272"/>
      <c r="G1" s="272" t="s">
        <v>396</v>
      </c>
      <c r="H1" s="272"/>
      <c r="I1" s="272"/>
      <c r="J1" s="272"/>
      <c r="K1" s="272" t="s">
        <v>397</v>
      </c>
      <c r="L1" s="272"/>
      <c r="M1" s="272" t="s">
        <v>398</v>
      </c>
      <c r="N1" s="272"/>
      <c r="O1" s="272" t="s">
        <v>401</v>
      </c>
      <c r="P1" s="272"/>
      <c r="Q1" s="272"/>
      <c r="R1" s="272" t="s">
        <v>401</v>
      </c>
      <c r="S1" s="272"/>
      <c r="T1" s="272"/>
      <c r="U1" s="272" t="s">
        <v>401</v>
      </c>
      <c r="V1" s="272"/>
      <c r="W1" s="272"/>
      <c r="X1" s="20" t="s">
        <v>439</v>
      </c>
      <c r="Y1" s="272" t="s">
        <v>440</v>
      </c>
      <c r="Z1" s="272"/>
      <c r="AA1" s="272"/>
    </row>
    <row r="2" spans="1:27" s="20" customFormat="1" ht="13" x14ac:dyDescent="0.3">
      <c r="A2" s="20" t="s">
        <v>409</v>
      </c>
      <c r="C2" s="20" t="s">
        <v>391</v>
      </c>
      <c r="D2" s="20" t="s">
        <v>392</v>
      </c>
      <c r="E2" s="20" t="s">
        <v>402</v>
      </c>
      <c r="F2" s="20" t="s">
        <v>91</v>
      </c>
      <c r="G2" s="20" t="str">
        <f>C2</f>
        <v>Africa</v>
      </c>
      <c r="H2" s="20" t="str">
        <f>D2</f>
        <v>World</v>
      </c>
      <c r="I2" s="20" t="s">
        <v>402</v>
      </c>
      <c r="J2" s="20" t="str">
        <f>F2</f>
        <v>Currency</v>
      </c>
      <c r="K2" s="20" t="s">
        <v>391</v>
      </c>
      <c r="L2" s="20" t="s">
        <v>392</v>
      </c>
      <c r="O2" s="272" t="s">
        <v>391</v>
      </c>
      <c r="P2" s="272"/>
      <c r="Q2" s="272"/>
      <c r="R2" s="272" t="s">
        <v>403</v>
      </c>
      <c r="S2" s="272"/>
      <c r="T2" s="272"/>
      <c r="U2" s="272" t="s">
        <v>402</v>
      </c>
      <c r="V2" s="272"/>
      <c r="W2" s="272"/>
      <c r="X2" s="20" t="s">
        <v>114</v>
      </c>
      <c r="Y2" s="272" t="s">
        <v>449</v>
      </c>
      <c r="Z2" s="272"/>
      <c r="AA2" s="272"/>
    </row>
    <row r="3" spans="1:27" s="20" customFormat="1" ht="13" x14ac:dyDescent="0.3">
      <c r="A3" s="20" t="s">
        <v>409</v>
      </c>
      <c r="O3" s="257" t="s">
        <v>404</v>
      </c>
      <c r="P3" s="257" t="s">
        <v>406</v>
      </c>
      <c r="Q3" s="257" t="s">
        <v>405</v>
      </c>
      <c r="R3" s="257" t="str">
        <f>O3</f>
        <v>Minimum</v>
      </c>
      <c r="S3" s="257" t="str">
        <f t="shared" ref="S3:T3" si="0">P3</f>
        <v>Maximum</v>
      </c>
      <c r="T3" s="257" t="str">
        <f t="shared" si="0"/>
        <v>Avarage</v>
      </c>
      <c r="U3" s="257" t="str">
        <f t="shared" ref="U3" si="1">R3</f>
        <v>Minimum</v>
      </c>
      <c r="V3" s="257" t="str">
        <f t="shared" ref="V3" si="2">S3</f>
        <v>Maximum</v>
      </c>
      <c r="W3" s="257" t="str">
        <f t="shared" ref="W3" si="3">T3</f>
        <v>Avarage</v>
      </c>
      <c r="Y3" s="20" t="s">
        <v>404</v>
      </c>
      <c r="Z3" s="20" t="s">
        <v>406</v>
      </c>
      <c r="AA3" s="20" t="s">
        <v>441</v>
      </c>
    </row>
    <row r="4" spans="1:27" ht="13" x14ac:dyDescent="0.3">
      <c r="A4" s="20" t="s">
        <v>409</v>
      </c>
      <c r="B4" t="s">
        <v>291</v>
      </c>
      <c r="C4">
        <v>1093</v>
      </c>
      <c r="D4">
        <v>691</v>
      </c>
      <c r="F4" t="s">
        <v>395</v>
      </c>
      <c r="G4">
        <v>7.3999999999999996E-2</v>
      </c>
      <c r="H4">
        <v>4.2999999999999997E-2</v>
      </c>
      <c r="J4" t="s">
        <v>395</v>
      </c>
      <c r="K4" s="256">
        <v>0.219</v>
      </c>
      <c r="L4" s="256">
        <v>0.33800000000000002</v>
      </c>
      <c r="M4">
        <v>1.7</v>
      </c>
      <c r="N4">
        <v>1.34</v>
      </c>
      <c r="O4" s="117"/>
      <c r="P4" s="117"/>
      <c r="Q4" s="117"/>
      <c r="R4" s="117"/>
      <c r="S4" s="117">
        <v>0.17</v>
      </c>
      <c r="T4" s="117"/>
      <c r="U4" s="117"/>
      <c r="V4" s="117"/>
      <c r="W4" s="117"/>
      <c r="X4">
        <v>30</v>
      </c>
      <c r="AA4">
        <f>1125/(365*24)</f>
        <v>0.12842465753424659</v>
      </c>
    </row>
    <row r="5" spans="1:27" ht="13" x14ac:dyDescent="0.3">
      <c r="A5" s="20" t="s">
        <v>409</v>
      </c>
      <c r="B5" t="s">
        <v>394</v>
      </c>
      <c r="C5">
        <v>2330</v>
      </c>
      <c r="D5">
        <v>2267</v>
      </c>
      <c r="E5">
        <v>824</v>
      </c>
      <c r="F5" t="s">
        <v>395</v>
      </c>
      <c r="G5">
        <v>6.2E-2</v>
      </c>
      <c r="H5">
        <v>5.7000000000000002E-2</v>
      </c>
      <c r="I5">
        <v>0.06</v>
      </c>
      <c r="J5" t="s">
        <v>395</v>
      </c>
      <c r="K5" s="256"/>
      <c r="L5" s="256"/>
      <c r="O5" s="117"/>
      <c r="P5" s="117"/>
      <c r="Q5" s="117"/>
      <c r="R5" s="117"/>
      <c r="S5" s="117">
        <v>0.48</v>
      </c>
      <c r="T5" s="117"/>
      <c r="U5" s="117"/>
      <c r="V5" s="117"/>
      <c r="W5" s="117">
        <v>0.35</v>
      </c>
    </row>
    <row r="6" spans="1:27" ht="13" x14ac:dyDescent="0.3">
      <c r="A6" s="20" t="s">
        <v>409</v>
      </c>
      <c r="B6" t="s">
        <v>142</v>
      </c>
      <c r="C6">
        <v>1333</v>
      </c>
      <c r="D6">
        <v>1041</v>
      </c>
      <c r="E6">
        <v>1834</v>
      </c>
      <c r="F6" t="s">
        <v>395</v>
      </c>
      <c r="G6">
        <v>5.0999999999999997E-2</v>
      </c>
      <c r="H6">
        <v>3.4000000000000002E-2</v>
      </c>
      <c r="I6">
        <v>5.0999999999999997E-2</v>
      </c>
      <c r="J6" t="s">
        <v>395</v>
      </c>
      <c r="K6" s="256">
        <v>9.6000000000000002E-2</v>
      </c>
      <c r="L6" s="256">
        <v>0.25</v>
      </c>
      <c r="M6">
        <v>2.04</v>
      </c>
      <c r="N6">
        <v>1.52</v>
      </c>
      <c r="O6" s="117"/>
      <c r="P6" s="117"/>
      <c r="Q6" s="117">
        <v>0.44</v>
      </c>
      <c r="R6" s="117"/>
      <c r="S6" s="117">
        <v>0.34</v>
      </c>
      <c r="T6" s="117"/>
      <c r="U6" s="117"/>
      <c r="V6" s="117"/>
      <c r="W6" s="117">
        <v>0.38</v>
      </c>
      <c r="X6">
        <v>25</v>
      </c>
      <c r="AA6">
        <f>38/(365*24)</f>
        <v>4.3378995433789955E-3</v>
      </c>
    </row>
    <row r="7" spans="1:27" ht="15.5" x14ac:dyDescent="0.35">
      <c r="A7" s="20" t="s">
        <v>409</v>
      </c>
      <c r="B7" s="258" t="s">
        <v>399</v>
      </c>
      <c r="H7" s="258">
        <v>2.1000000000000001E-2</v>
      </c>
      <c r="I7" s="258"/>
      <c r="J7" t="s">
        <v>395</v>
      </c>
      <c r="O7" s="117"/>
      <c r="P7" s="117"/>
      <c r="Q7" s="117"/>
      <c r="R7" s="117"/>
      <c r="S7" s="117"/>
      <c r="T7" s="117"/>
      <c r="U7" s="117"/>
      <c r="V7" s="117"/>
      <c r="W7" s="117"/>
    </row>
    <row r="8" spans="1:27" ht="15.5" x14ac:dyDescent="0.35">
      <c r="A8" s="20" t="s">
        <v>409</v>
      </c>
      <c r="B8" s="258" t="s">
        <v>400</v>
      </c>
      <c r="H8" s="258">
        <v>7.9000000000000001E-2</v>
      </c>
      <c r="I8" s="258"/>
      <c r="J8" t="s">
        <v>395</v>
      </c>
      <c r="O8" s="117">
        <v>0.18</v>
      </c>
      <c r="P8" s="117">
        <v>0.3</v>
      </c>
      <c r="Q8" s="117">
        <f>(O8+P8)/2</f>
        <v>0.24</v>
      </c>
      <c r="R8" s="117"/>
      <c r="S8" s="117"/>
      <c r="T8" s="117"/>
      <c r="U8" s="117"/>
      <c r="V8" s="117"/>
      <c r="W8" s="117"/>
    </row>
    <row r="9" spans="1:27" ht="15.5" x14ac:dyDescent="0.35">
      <c r="A9" s="20" t="s">
        <v>409</v>
      </c>
      <c r="B9" s="161" t="s">
        <v>174</v>
      </c>
      <c r="H9" s="258">
        <v>0.11899999999999999</v>
      </c>
      <c r="I9" s="258"/>
      <c r="J9" t="s">
        <v>395</v>
      </c>
    </row>
    <row r="10" spans="1:27" ht="13" x14ac:dyDescent="0.3">
      <c r="A10" s="20" t="s">
        <v>409</v>
      </c>
      <c r="B10" s="161" t="s">
        <v>407</v>
      </c>
      <c r="I10">
        <v>0.1</v>
      </c>
    </row>
    <row r="11" spans="1:27" ht="13" x14ac:dyDescent="0.3">
      <c r="A11" s="20" t="s">
        <v>409</v>
      </c>
      <c r="B11" s="161" t="s">
        <v>408</v>
      </c>
      <c r="I11">
        <v>0.33</v>
      </c>
    </row>
    <row r="12" spans="1:27" ht="15.5" x14ac:dyDescent="0.35">
      <c r="A12" s="20" t="s">
        <v>409</v>
      </c>
      <c r="B12" s="161" t="s">
        <v>277</v>
      </c>
      <c r="D12">
        <v>3677</v>
      </c>
      <c r="H12" s="258">
        <v>9.1999999999999998E-2</v>
      </c>
      <c r="S12">
        <v>41</v>
      </c>
      <c r="X12">
        <v>25</v>
      </c>
      <c r="AA12">
        <v>1.4E-2</v>
      </c>
    </row>
    <row r="13" spans="1:27" ht="15.5" x14ac:dyDescent="0.35">
      <c r="A13" s="20" t="s">
        <v>409</v>
      </c>
      <c r="B13" s="161" t="s">
        <v>438</v>
      </c>
      <c r="D13">
        <v>3242</v>
      </c>
      <c r="H13" s="258">
        <v>8.6999999999999994E-2</v>
      </c>
      <c r="S13">
        <v>73</v>
      </c>
      <c r="X13">
        <v>20</v>
      </c>
      <c r="Y13">
        <f>0.02*D13/(365*24)</f>
        <v>7.4018264840182649E-3</v>
      </c>
      <c r="Z13">
        <f>0.06*D13/(365*24)</f>
        <v>2.2205479452054793E-2</v>
      </c>
      <c r="AA13">
        <f>(Y13+Z13)/2</f>
        <v>1.480365296803653E-2</v>
      </c>
    </row>
    <row r="14" spans="1:27" ht="13" x14ac:dyDescent="0.3">
      <c r="A14" s="20" t="s">
        <v>409</v>
      </c>
      <c r="B14" s="161" t="s">
        <v>450</v>
      </c>
      <c r="D14">
        <v>192</v>
      </c>
    </row>
    <row r="17" spans="1:16" x14ac:dyDescent="0.25">
      <c r="A17" t="str">
        <f>A1</f>
        <v xml:space="preserve">Source </v>
      </c>
      <c r="B17" t="str">
        <f t="shared" ref="B17:C17" si="4">B1</f>
        <v>Technology Name</v>
      </c>
      <c r="C17" s="274" t="str">
        <f t="shared" si="4"/>
        <v>Installation Cost per kW</v>
      </c>
      <c r="D17" s="274"/>
      <c r="E17" s="274"/>
      <c r="F17" s="274"/>
      <c r="G17" t="s">
        <v>419</v>
      </c>
      <c r="H17" t="s">
        <v>418</v>
      </c>
      <c r="I17" t="s">
        <v>420</v>
      </c>
      <c r="J17" t="s">
        <v>422</v>
      </c>
      <c r="K17" t="s">
        <v>423</v>
      </c>
      <c r="L17" t="s">
        <v>112</v>
      </c>
      <c r="M17" t="s">
        <v>424</v>
      </c>
      <c r="N17" t="s">
        <v>425</v>
      </c>
      <c r="O17" t="s">
        <v>427</v>
      </c>
    </row>
    <row r="18" spans="1:16" x14ac:dyDescent="0.25">
      <c r="C18" s="255"/>
      <c r="D18" s="255"/>
      <c r="E18" s="255" t="s">
        <v>412</v>
      </c>
      <c r="F18" s="255"/>
      <c r="G18" t="s">
        <v>412</v>
      </c>
      <c r="H18" t="s">
        <v>412</v>
      </c>
      <c r="I18" s="255" t="s">
        <v>421</v>
      </c>
      <c r="J18" s="255" t="s">
        <v>421</v>
      </c>
      <c r="K18" s="255" t="s">
        <v>421</v>
      </c>
      <c r="L18" s="255"/>
      <c r="M18" s="255" t="s">
        <v>114</v>
      </c>
      <c r="N18" s="255" t="s">
        <v>426</v>
      </c>
      <c r="O18" s="255" t="s">
        <v>426</v>
      </c>
      <c r="P18" s="255"/>
    </row>
    <row r="19" spans="1:16" x14ac:dyDescent="0.25">
      <c r="A19" t="s">
        <v>416</v>
      </c>
      <c r="C19" t="str">
        <f>C2</f>
        <v>Africa</v>
      </c>
      <c r="D19" t="str">
        <f>D2</f>
        <v>World</v>
      </c>
      <c r="E19" t="str">
        <f>E2</f>
        <v>Ethiopia</v>
      </c>
      <c r="F19" t="str">
        <f>F2</f>
        <v>Currency</v>
      </c>
      <c r="G19" t="str">
        <f>I19</f>
        <v>Ethiopia</v>
      </c>
      <c r="H19" t="s">
        <v>402</v>
      </c>
      <c r="I19" t="str">
        <f>I2</f>
        <v>Ethiopia</v>
      </c>
      <c r="J19" t="s">
        <v>402</v>
      </c>
      <c r="K19" t="s">
        <v>402</v>
      </c>
      <c r="L19" t="s">
        <v>402</v>
      </c>
      <c r="M19" t="s">
        <v>390</v>
      </c>
      <c r="P19">
        <f>P2</f>
        <v>0</v>
      </c>
    </row>
    <row r="20" spans="1:16" x14ac:dyDescent="0.25">
      <c r="A20" t="s">
        <v>442</v>
      </c>
      <c r="B20" t="s">
        <v>411</v>
      </c>
      <c r="E20">
        <v>2770</v>
      </c>
      <c r="F20" t="s">
        <v>412</v>
      </c>
      <c r="G20">
        <v>21</v>
      </c>
      <c r="H20">
        <v>0</v>
      </c>
      <c r="I20">
        <v>25</v>
      </c>
      <c r="J20">
        <v>99</v>
      </c>
      <c r="M20">
        <v>25</v>
      </c>
    </row>
    <row r="21" spans="1:16" x14ac:dyDescent="0.25">
      <c r="A21" t="s">
        <v>443</v>
      </c>
      <c r="B21" t="s">
        <v>394</v>
      </c>
      <c r="E21">
        <v>2000</v>
      </c>
      <c r="F21" t="s">
        <v>412</v>
      </c>
      <c r="G21">
        <v>18</v>
      </c>
      <c r="H21">
        <v>1E-4</v>
      </c>
      <c r="I21">
        <v>41</v>
      </c>
      <c r="J21">
        <v>100</v>
      </c>
      <c r="M21">
        <v>80</v>
      </c>
    </row>
    <row r="22" spans="1:16" x14ac:dyDescent="0.25">
      <c r="A22" t="s">
        <v>444</v>
      </c>
      <c r="B22" t="s">
        <v>413</v>
      </c>
      <c r="E22">
        <v>2900</v>
      </c>
      <c r="F22" t="s">
        <v>412</v>
      </c>
      <c r="G22">
        <v>46</v>
      </c>
      <c r="H22">
        <v>0</v>
      </c>
      <c r="I22">
        <v>30</v>
      </c>
      <c r="J22">
        <v>97</v>
      </c>
      <c r="M22">
        <v>20</v>
      </c>
    </row>
    <row r="23" spans="1:16" x14ac:dyDescent="0.25">
      <c r="A23" t="s">
        <v>445</v>
      </c>
      <c r="B23" t="s">
        <v>414</v>
      </c>
      <c r="E23">
        <v>1100</v>
      </c>
      <c r="F23" t="s">
        <v>412</v>
      </c>
      <c r="G23">
        <v>21</v>
      </c>
      <c r="H23">
        <v>4.0000000000000002E-4</v>
      </c>
      <c r="I23">
        <v>25</v>
      </c>
      <c r="J23">
        <v>99</v>
      </c>
      <c r="K23">
        <v>5</v>
      </c>
      <c r="M23">
        <v>25</v>
      </c>
    </row>
    <row r="24" spans="1:16" x14ac:dyDescent="0.25">
      <c r="A24" t="s">
        <v>446</v>
      </c>
      <c r="B24" t="s">
        <v>415</v>
      </c>
      <c r="E24">
        <v>1700</v>
      </c>
      <c r="F24" t="s">
        <v>412</v>
      </c>
      <c r="G24">
        <v>46</v>
      </c>
      <c r="H24">
        <v>8.0000000000000004E-4</v>
      </c>
      <c r="I24">
        <v>30</v>
      </c>
      <c r="J24">
        <v>97</v>
      </c>
      <c r="K24">
        <v>20</v>
      </c>
      <c r="M24">
        <v>25</v>
      </c>
    </row>
    <row r="25" spans="1:16" x14ac:dyDescent="0.25">
      <c r="A25" t="s">
        <v>447</v>
      </c>
      <c r="B25" t="s">
        <v>124</v>
      </c>
      <c r="E25">
        <v>3333</v>
      </c>
      <c r="F25" t="s">
        <v>412</v>
      </c>
      <c r="G25">
        <v>75.599999999999994</v>
      </c>
      <c r="H25">
        <v>6.4999999999999997E-3</v>
      </c>
      <c r="I25">
        <v>50</v>
      </c>
      <c r="J25">
        <v>100</v>
      </c>
      <c r="K25">
        <v>100</v>
      </c>
      <c r="L25">
        <v>38</v>
      </c>
      <c r="M25">
        <v>30</v>
      </c>
      <c r="O25">
        <v>6.4999999999999994E-5</v>
      </c>
    </row>
    <row r="26" spans="1:16" x14ac:dyDescent="0.25">
      <c r="A26" t="s">
        <v>448</v>
      </c>
      <c r="B26" t="s">
        <v>417</v>
      </c>
      <c r="E26">
        <v>5238</v>
      </c>
      <c r="F26" t="s">
        <v>412</v>
      </c>
      <c r="G26">
        <v>67.3</v>
      </c>
      <c r="H26">
        <v>1.5E-3</v>
      </c>
      <c r="I26">
        <v>63</v>
      </c>
      <c r="J26">
        <v>100</v>
      </c>
      <c r="K26">
        <v>100</v>
      </c>
      <c r="M26">
        <v>25</v>
      </c>
    </row>
    <row r="31" spans="1:16" x14ac:dyDescent="0.25">
      <c r="A31" t="s">
        <v>428</v>
      </c>
      <c r="B31" t="s">
        <v>428</v>
      </c>
      <c r="C31" t="s">
        <v>429</v>
      </c>
    </row>
    <row r="32" spans="1:16" x14ac:dyDescent="0.25">
      <c r="C32" t="s">
        <v>430</v>
      </c>
    </row>
    <row r="33" spans="1:6" x14ac:dyDescent="0.25">
      <c r="A33" t="str">
        <f>A19</f>
        <v>Gebremeskel 2023</v>
      </c>
      <c r="B33" t="s">
        <v>124</v>
      </c>
      <c r="C33">
        <f>3.89/0.0002777778</f>
        <v>14003.99887968009</v>
      </c>
    </row>
    <row r="34" spans="1:6" x14ac:dyDescent="0.25">
      <c r="A34" t="s">
        <v>416</v>
      </c>
      <c r="B34" t="s">
        <v>434</v>
      </c>
      <c r="C34">
        <f>7.66/0.0002777778</f>
        <v>27575.997793920178</v>
      </c>
    </row>
    <row r="35" spans="1:6" x14ac:dyDescent="0.25">
      <c r="A35" t="s">
        <v>416</v>
      </c>
      <c r="B35" t="s">
        <v>432</v>
      </c>
      <c r="C35">
        <f>18.8/0.0002777778</f>
        <v>67679.994585600434</v>
      </c>
    </row>
    <row r="36" spans="1:6" x14ac:dyDescent="0.25">
      <c r="A36" t="s">
        <v>435</v>
      </c>
      <c r="B36" t="s">
        <v>433</v>
      </c>
      <c r="C36">
        <f>8.121/0.0002777778</f>
        <v>29235.597661152191</v>
      </c>
    </row>
    <row r="37" spans="1:6" x14ac:dyDescent="0.25">
      <c r="A37" t="s">
        <v>436</v>
      </c>
      <c r="B37" t="s">
        <v>431</v>
      </c>
      <c r="C37">
        <f>1.263/0.0002777778</f>
        <v>4546.7996362560289</v>
      </c>
    </row>
    <row r="38" spans="1:6" x14ac:dyDescent="0.25">
      <c r="A38" t="s">
        <v>437</v>
      </c>
      <c r="B38" t="s">
        <v>333</v>
      </c>
      <c r="C38">
        <f>5.835/0.0002777778</f>
        <v>21005.998319520135</v>
      </c>
    </row>
    <row r="42" spans="1:6" x14ac:dyDescent="0.25">
      <c r="A42" s="161" t="s">
        <v>451</v>
      </c>
      <c r="B42" s="161" t="s">
        <v>453</v>
      </c>
      <c r="C42" s="273" t="s">
        <v>453</v>
      </c>
      <c r="D42" s="273"/>
      <c r="E42" s="273"/>
    </row>
    <row r="43" spans="1:6" x14ac:dyDescent="0.25">
      <c r="A43" s="161"/>
      <c r="B43" s="161" t="s">
        <v>404</v>
      </c>
      <c r="C43" s="161" t="s">
        <v>404</v>
      </c>
      <c r="D43" s="161" t="s">
        <v>406</v>
      </c>
      <c r="E43" s="161" t="s">
        <v>390</v>
      </c>
      <c r="F43" s="161" t="s">
        <v>459</v>
      </c>
    </row>
    <row r="44" spans="1:6" x14ac:dyDescent="0.25">
      <c r="A44" s="161" t="s">
        <v>454</v>
      </c>
      <c r="B44" s="161" t="s">
        <v>452</v>
      </c>
      <c r="E44">
        <v>0.35</v>
      </c>
    </row>
    <row r="45" spans="1:6" s="162" customFormat="1" x14ac:dyDescent="0.25">
      <c r="A45" s="162" t="s">
        <v>456</v>
      </c>
      <c r="B45" s="162" t="s">
        <v>455</v>
      </c>
      <c r="C45" s="162">
        <v>0.8</v>
      </c>
      <c r="D45" s="162">
        <v>0.9</v>
      </c>
      <c r="E45" s="162">
        <v>0.84</v>
      </c>
    </row>
    <row r="46" spans="1:6" s="162" customFormat="1" x14ac:dyDescent="0.25">
      <c r="A46" s="162" t="s">
        <v>456</v>
      </c>
      <c r="B46" s="162" t="s">
        <v>457</v>
      </c>
      <c r="C46" s="162">
        <v>0.95</v>
      </c>
      <c r="D46" s="162">
        <v>1</v>
      </c>
      <c r="E46" s="162">
        <v>0.96</v>
      </c>
    </row>
    <row r="47" spans="1:6" x14ac:dyDescent="0.25">
      <c r="A47" t="s">
        <v>460</v>
      </c>
      <c r="B47" s="161" t="s">
        <v>458</v>
      </c>
      <c r="C47">
        <v>0.8</v>
      </c>
      <c r="D47">
        <v>0.85</v>
      </c>
      <c r="F47">
        <v>0.59299999999999997</v>
      </c>
    </row>
    <row r="48" spans="1:6" x14ac:dyDescent="0.25">
      <c r="A48" t="s">
        <v>461</v>
      </c>
      <c r="B48" s="161" t="s">
        <v>458</v>
      </c>
      <c r="C48">
        <v>0.8</v>
      </c>
      <c r="D48">
        <v>0.81</v>
      </c>
    </row>
    <row r="49" spans="1:6" ht="13" x14ac:dyDescent="0.3">
      <c r="A49" s="259" t="s">
        <v>465</v>
      </c>
      <c r="B49" s="161" t="s">
        <v>466</v>
      </c>
      <c r="C49">
        <v>0.85</v>
      </c>
      <c r="D49">
        <v>0.87</v>
      </c>
      <c r="F49">
        <v>0.79200000000000004</v>
      </c>
    </row>
    <row r="50" spans="1:6" ht="13" x14ac:dyDescent="0.3">
      <c r="A50" s="259" t="s">
        <v>465</v>
      </c>
      <c r="B50" s="161" t="s">
        <v>467</v>
      </c>
      <c r="C50">
        <v>0.85</v>
      </c>
      <c r="D50">
        <v>0.87</v>
      </c>
      <c r="F50">
        <v>0.80900000000000005</v>
      </c>
    </row>
    <row r="51" spans="1:6" ht="13" x14ac:dyDescent="0.3">
      <c r="A51" s="259" t="s">
        <v>468</v>
      </c>
      <c r="B51" s="161" t="s">
        <v>469</v>
      </c>
      <c r="E51">
        <v>0.85</v>
      </c>
      <c r="F51">
        <v>0.76100000000000001</v>
      </c>
    </row>
    <row r="52" spans="1:6" x14ac:dyDescent="0.25">
      <c r="A52" t="s">
        <v>463</v>
      </c>
      <c r="B52" s="161" t="s">
        <v>462</v>
      </c>
      <c r="E52">
        <v>0.51039999999999996</v>
      </c>
    </row>
    <row r="53" spans="1:6" ht="13" x14ac:dyDescent="0.3">
      <c r="A53" s="259" t="s">
        <v>464</v>
      </c>
      <c r="B53" s="161" t="s">
        <v>279</v>
      </c>
      <c r="E53">
        <v>0.65</v>
      </c>
      <c r="F53">
        <v>0.42</v>
      </c>
    </row>
  </sheetData>
  <mergeCells count="14">
    <mergeCell ref="U1:W1"/>
    <mergeCell ref="Y1:AA1"/>
    <mergeCell ref="Y2:AA2"/>
    <mergeCell ref="C42:E42"/>
    <mergeCell ref="O2:Q2"/>
    <mergeCell ref="R2:T2"/>
    <mergeCell ref="U2:W2"/>
    <mergeCell ref="C17:F17"/>
    <mergeCell ref="C1:F1"/>
    <mergeCell ref="G1:J1"/>
    <mergeCell ref="M1:N1"/>
    <mergeCell ref="K1:L1"/>
    <mergeCell ref="O1:Q1"/>
    <mergeCell ref="R1:T1"/>
  </mergeCells>
  <phoneticPr fontId="4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EA534-E44A-461C-9315-2313911B2BEB}">
  <dimension ref="B1:R67"/>
  <sheetViews>
    <sheetView topLeftCell="A20" zoomScale="122" zoomScaleNormal="122" workbookViewId="0">
      <selection activeCell="G38" sqref="G38"/>
    </sheetView>
  </sheetViews>
  <sheetFormatPr defaultRowHeight="12.5" x14ac:dyDescent="0.25"/>
  <cols>
    <col min="1" max="1" width="3" bestFit="1" customWidth="1"/>
    <col min="2" max="2" width="16.54296875" bestFit="1" customWidth="1"/>
    <col min="3" max="3" width="40.08984375" bestFit="1" customWidth="1"/>
    <col min="4" max="4" width="13.36328125" customWidth="1"/>
    <col min="5" max="8" width="15.453125" customWidth="1"/>
    <col min="9" max="10" width="13.36328125" customWidth="1"/>
    <col min="11" max="11" width="10.54296875" customWidth="1"/>
    <col min="12" max="12" width="10.90625" customWidth="1"/>
    <col min="13" max="13" width="15.54296875" bestFit="1" customWidth="1"/>
    <col min="14" max="14" width="2" bestFit="1" customWidth="1"/>
    <col min="15" max="15" width="12.36328125" bestFit="1" customWidth="1"/>
    <col min="17" max="17" width="6.6328125" bestFit="1" customWidth="1"/>
    <col min="18" max="18" width="9.36328125" bestFit="1" customWidth="1"/>
    <col min="19" max="19" width="2" bestFit="1" customWidth="1"/>
  </cols>
  <sheetData>
    <row r="1" spans="2:18" ht="13" x14ac:dyDescent="0.3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5" x14ac:dyDescent="0.35">
      <c r="D2" s="27" t="s">
        <v>44</v>
      </c>
      <c r="E2" s="27" t="s">
        <v>45</v>
      </c>
      <c r="F2" s="27" t="s">
        <v>129</v>
      </c>
      <c r="G2" s="27" t="s">
        <v>139</v>
      </c>
      <c r="H2" s="27" t="s">
        <v>140</v>
      </c>
      <c r="I2" s="27" t="s">
        <v>131</v>
      </c>
      <c r="J2" s="27" t="s">
        <v>46</v>
      </c>
      <c r="K2" s="20"/>
      <c r="P2" s="24" t="s">
        <v>125</v>
      </c>
      <c r="Q2" s="7" t="s">
        <v>126</v>
      </c>
      <c r="R2" s="7" t="s">
        <v>94</v>
      </c>
    </row>
    <row r="3" spans="2:18" ht="13" x14ac:dyDescent="0.3">
      <c r="C3" s="4"/>
      <c r="D3" s="28" t="s">
        <v>174</v>
      </c>
      <c r="E3" s="28" t="s">
        <v>127</v>
      </c>
      <c r="F3" s="28" t="s">
        <v>130</v>
      </c>
      <c r="G3" s="28" t="s">
        <v>141</v>
      </c>
      <c r="H3" s="28" t="s">
        <v>142</v>
      </c>
      <c r="I3" s="28" t="s">
        <v>124</v>
      </c>
      <c r="J3" s="28" t="s">
        <v>85</v>
      </c>
      <c r="K3" s="22" t="s">
        <v>48</v>
      </c>
    </row>
    <row r="4" spans="2:18" x14ac:dyDescent="0.25">
      <c r="C4" s="59" t="s">
        <v>49</v>
      </c>
      <c r="E4" s="56"/>
      <c r="F4" s="4"/>
      <c r="G4" s="4"/>
      <c r="H4" s="4"/>
      <c r="I4" s="4"/>
      <c r="J4" s="4"/>
      <c r="K4" s="4"/>
    </row>
    <row r="5" spans="2:18" ht="14.5" x14ac:dyDescent="0.35">
      <c r="B5" s="29" t="s">
        <v>50</v>
      </c>
      <c r="C5" s="60" t="s">
        <v>51</v>
      </c>
      <c r="D5" s="57">
        <v>16266.24</v>
      </c>
      <c r="E5" s="25">
        <v>0</v>
      </c>
      <c r="F5" s="25">
        <v>60374.92</v>
      </c>
      <c r="G5" s="25">
        <v>126</v>
      </c>
      <c r="H5" s="25">
        <v>1904.4</v>
      </c>
      <c r="I5" s="25">
        <v>1736171.912</v>
      </c>
      <c r="J5" s="25">
        <f>F5+G5+H5</f>
        <v>62405.32</v>
      </c>
      <c r="K5" s="26">
        <f>SUM(D5:J5)</f>
        <v>1877248.7920000001</v>
      </c>
      <c r="O5" s="5"/>
    </row>
    <row r="6" spans="2:18" ht="14.5" x14ac:dyDescent="0.35">
      <c r="B6" s="29" t="s">
        <v>52</v>
      </c>
      <c r="C6" s="60" t="s">
        <v>53</v>
      </c>
      <c r="D6" s="35">
        <v>11367.581</v>
      </c>
      <c r="E6" s="25">
        <v>213670.36799999999</v>
      </c>
      <c r="F6" s="25"/>
      <c r="G6" s="25"/>
      <c r="H6" s="25"/>
      <c r="I6" s="25"/>
      <c r="J6" s="25">
        <v>0</v>
      </c>
      <c r="K6" s="26">
        <f>SUM(D6:J6)</f>
        <v>225037.94899999999</v>
      </c>
    </row>
    <row r="7" spans="2:18" ht="14.5" x14ac:dyDescent="0.35">
      <c r="B7" s="29" t="s">
        <v>128</v>
      </c>
      <c r="C7" s="60" t="s">
        <v>132</v>
      </c>
      <c r="D7" s="35"/>
      <c r="E7" s="25"/>
      <c r="F7" s="25"/>
      <c r="G7" s="25"/>
      <c r="H7" s="25"/>
      <c r="I7" s="25"/>
      <c r="J7" s="25">
        <v>-6300</v>
      </c>
      <c r="K7" s="26"/>
    </row>
    <row r="8" spans="2:18" ht="14.5" x14ac:dyDescent="0.35">
      <c r="B8" s="55" t="s">
        <v>116</v>
      </c>
      <c r="C8" s="38" t="s">
        <v>117</v>
      </c>
      <c r="D8" s="37">
        <f>SUM(D5:D6)</f>
        <v>27633.821</v>
      </c>
      <c r="E8" s="37">
        <f t="shared" ref="E8:K8" si="0">SUM(E5:E6)</f>
        <v>213670.36799999999</v>
      </c>
      <c r="F8" s="37">
        <f t="shared" si="0"/>
        <v>60374.92</v>
      </c>
      <c r="G8" s="37">
        <f>SUM(G5:G7)</f>
        <v>126</v>
      </c>
      <c r="H8" s="37">
        <f>SUM(H5:H7)</f>
        <v>1904.4</v>
      </c>
      <c r="I8" s="37">
        <f>SUM(I5:I7)</f>
        <v>1736171.912</v>
      </c>
      <c r="J8" s="37">
        <f>SUM(J5:J7)</f>
        <v>56105.32</v>
      </c>
      <c r="K8" s="37">
        <f t="shared" si="0"/>
        <v>2102286.7409999999</v>
      </c>
    </row>
    <row r="9" spans="2:18" ht="13" x14ac:dyDescent="0.3">
      <c r="B9" s="23"/>
      <c r="C9" s="61" t="s">
        <v>54</v>
      </c>
      <c r="D9" s="4"/>
      <c r="E9" s="4"/>
      <c r="F9" s="4"/>
      <c r="G9" s="4"/>
      <c r="H9" s="4"/>
      <c r="I9" s="4"/>
      <c r="J9" s="4"/>
      <c r="K9" s="39"/>
    </row>
    <row r="10" spans="2:18" ht="13" x14ac:dyDescent="0.3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v>-209</v>
      </c>
      <c r="K10" s="31">
        <f>SUM(D10:J10)</f>
        <v>-209</v>
      </c>
    </row>
    <row r="11" spans="2:18" ht="13" x14ac:dyDescent="0.3">
      <c r="B11" s="29" t="s">
        <v>46</v>
      </c>
      <c r="C11" s="43" t="s">
        <v>57</v>
      </c>
      <c r="D11" s="30"/>
      <c r="E11" s="30">
        <v>-7.2</v>
      </c>
      <c r="F11" s="30">
        <f>-F8</f>
        <v>-60374.92</v>
      </c>
      <c r="G11" s="30">
        <f>-G5</f>
        <v>-126</v>
      </c>
      <c r="H11" s="30">
        <f>-H5</f>
        <v>-1904.4</v>
      </c>
      <c r="I11" s="30"/>
      <c r="J11" s="30">
        <f>J5-J7</f>
        <v>68705.320000000007</v>
      </c>
      <c r="K11" s="31">
        <f t="shared" ref="K11:K13" si="1">SUM(D11:J11)</f>
        <v>6292.8000000000102</v>
      </c>
    </row>
    <row r="12" spans="2:18" ht="13" x14ac:dyDescent="0.3">
      <c r="B12" s="29" t="s">
        <v>58</v>
      </c>
      <c r="C12" s="43" t="s">
        <v>138</v>
      </c>
      <c r="D12" s="30">
        <v>-27634</v>
      </c>
      <c r="E12" s="30">
        <f>-E8+E11</f>
        <v>-213677.568</v>
      </c>
      <c r="F12" s="30"/>
      <c r="G12" s="30"/>
      <c r="H12" s="30"/>
      <c r="I12" s="30">
        <f>-I8</f>
        <v>-1736171.912</v>
      </c>
      <c r="J12" s="30">
        <v>0</v>
      </c>
      <c r="K12" s="31">
        <f t="shared" si="1"/>
        <v>-1977483.48</v>
      </c>
    </row>
    <row r="13" spans="2:18" ht="14.5" x14ac:dyDescent="0.35">
      <c r="B13" s="23"/>
      <c r="C13" s="38" t="s">
        <v>59</v>
      </c>
      <c r="D13" s="58">
        <f>SUM(D10:D12)</f>
        <v>-27634</v>
      </c>
      <c r="E13" s="40">
        <f>SUM(E10:E12)</f>
        <v>-213684.76800000001</v>
      </c>
      <c r="F13" s="40">
        <f t="shared" ref="F13:I13" si="2">SUM(F10:F12)</f>
        <v>-60374.92</v>
      </c>
      <c r="G13" s="40">
        <f t="shared" si="2"/>
        <v>-126</v>
      </c>
      <c r="H13" s="40">
        <f t="shared" si="2"/>
        <v>-1904.4</v>
      </c>
      <c r="I13" s="40">
        <f t="shared" si="2"/>
        <v>-1736171.912</v>
      </c>
      <c r="J13" s="40">
        <f>SUM(J10:J12)</f>
        <v>68496.320000000007</v>
      </c>
      <c r="K13" s="31">
        <f t="shared" si="1"/>
        <v>-1971399.6799999999</v>
      </c>
    </row>
    <row r="14" spans="2:18" ht="13" x14ac:dyDescent="0.3">
      <c r="B14" s="23"/>
      <c r="C14" s="61" t="s">
        <v>60</v>
      </c>
      <c r="D14" s="4"/>
      <c r="E14" s="4"/>
      <c r="F14" s="4"/>
      <c r="G14" s="4"/>
      <c r="H14" s="4"/>
      <c r="I14" s="4"/>
      <c r="J14" s="4"/>
      <c r="K14" s="39"/>
    </row>
    <row r="15" spans="2:18" ht="13" x14ac:dyDescent="0.3">
      <c r="B15" s="29" t="s">
        <v>61</v>
      </c>
      <c r="C15" s="44" t="s">
        <v>62</v>
      </c>
      <c r="D15" s="32"/>
      <c r="E15" s="32">
        <v>4898.5519999999997</v>
      </c>
      <c r="F15" s="32"/>
      <c r="G15" s="32"/>
      <c r="H15" s="32"/>
      <c r="I15" s="32">
        <v>1388448.865</v>
      </c>
      <c r="J15" s="32">
        <v>21938.831999999999</v>
      </c>
      <c r="K15" s="34">
        <f t="shared" ref="K15:K24" si="3">SUM(D15:J15)</f>
        <v>1415286.2489999998</v>
      </c>
    </row>
    <row r="16" spans="2:18" ht="13" x14ac:dyDescent="0.3">
      <c r="B16" s="29" t="s">
        <v>63</v>
      </c>
      <c r="C16" s="45" t="s">
        <v>64</v>
      </c>
      <c r="D16" s="32"/>
      <c r="E16" s="32">
        <v>3076.8539999999998</v>
      </c>
      <c r="F16" s="32"/>
      <c r="G16" s="32"/>
      <c r="H16" s="32"/>
      <c r="I16" s="32">
        <v>15030.37</v>
      </c>
      <c r="J16" s="32">
        <v>9252.8279999999995</v>
      </c>
      <c r="K16" s="34">
        <f t="shared" si="3"/>
        <v>27360.052000000003</v>
      </c>
    </row>
    <row r="17" spans="2:12" ht="13" x14ac:dyDescent="0.3">
      <c r="B17" s="29" t="s">
        <v>65</v>
      </c>
      <c r="C17" s="45" t="s">
        <v>66</v>
      </c>
      <c r="D17" s="32"/>
      <c r="E17" s="32"/>
      <c r="F17" s="32"/>
      <c r="G17" s="32"/>
      <c r="H17" s="32"/>
      <c r="I17" s="32"/>
      <c r="J17" s="32"/>
      <c r="K17" s="34">
        <f t="shared" si="3"/>
        <v>0</v>
      </c>
    </row>
    <row r="18" spans="2:12" ht="13" x14ac:dyDescent="0.3">
      <c r="B18" s="29" t="s">
        <v>133</v>
      </c>
      <c r="C18" s="45" t="s">
        <v>134</v>
      </c>
      <c r="D18" s="32">
        <v>27634.417000000001</v>
      </c>
      <c r="E18" s="32">
        <v>9378.4320000000007</v>
      </c>
      <c r="F18" s="32"/>
      <c r="G18" s="32"/>
      <c r="H18" s="32"/>
      <c r="I18" s="32"/>
      <c r="J18" s="32">
        <v>10301.619499999999</v>
      </c>
      <c r="K18" s="34">
        <f t="shared" si="3"/>
        <v>47314.468500000003</v>
      </c>
    </row>
    <row r="19" spans="2:12" ht="13" x14ac:dyDescent="0.3">
      <c r="B19" s="29" t="s">
        <v>135</v>
      </c>
      <c r="C19" s="45" t="s">
        <v>136</v>
      </c>
      <c r="D19" s="32"/>
      <c r="E19" s="32">
        <v>31613.267999999996</v>
      </c>
      <c r="F19" s="32"/>
      <c r="G19" s="32"/>
      <c r="H19" s="32"/>
      <c r="I19" s="32"/>
      <c r="J19" s="32">
        <v>542.19050000000061</v>
      </c>
      <c r="K19" s="34">
        <f t="shared" si="3"/>
        <v>32155.458499999997</v>
      </c>
    </row>
    <row r="20" spans="2:12" ht="13" x14ac:dyDescent="0.3">
      <c r="B20" s="29" t="s">
        <v>67</v>
      </c>
      <c r="C20" s="45" t="s">
        <v>137</v>
      </c>
      <c r="D20" s="32"/>
      <c r="E20" s="32">
        <v>7289.8130000000001</v>
      </c>
      <c r="F20" s="32"/>
      <c r="G20" s="32"/>
      <c r="H20" s="32"/>
      <c r="I20" s="32"/>
      <c r="J20" s="32"/>
      <c r="K20" s="34">
        <f t="shared" si="3"/>
        <v>7289.8130000000001</v>
      </c>
    </row>
    <row r="21" spans="2:12" ht="13" x14ac:dyDescent="0.3">
      <c r="B21" s="29" t="s">
        <v>68</v>
      </c>
      <c r="C21" s="45" t="s">
        <v>69</v>
      </c>
      <c r="D21" s="32"/>
      <c r="E21" s="32">
        <v>100365.844</v>
      </c>
      <c r="F21" s="32"/>
      <c r="G21" s="32"/>
      <c r="H21" s="32"/>
      <c r="I21" s="32">
        <v>399.02699999999999</v>
      </c>
      <c r="J21" s="32">
        <v>167.47200000000001</v>
      </c>
      <c r="K21" s="34">
        <f t="shared" si="3"/>
        <v>100932.34299999999</v>
      </c>
    </row>
    <row r="22" spans="2:12" ht="13" x14ac:dyDescent="0.3">
      <c r="B22" s="29" t="s">
        <v>70</v>
      </c>
      <c r="C22" s="46" t="s">
        <v>71</v>
      </c>
      <c r="D22" s="33"/>
      <c r="E22" s="32">
        <v>7289.8130000000001</v>
      </c>
      <c r="F22" s="32"/>
      <c r="G22" s="32"/>
      <c r="H22" s="32"/>
      <c r="I22" s="32"/>
      <c r="J22" s="32"/>
      <c r="K22" s="34">
        <f t="shared" si="3"/>
        <v>7289.8130000000001</v>
      </c>
    </row>
    <row r="23" spans="2:12" ht="13" x14ac:dyDescent="0.3">
      <c r="B23" s="29" t="s">
        <v>83</v>
      </c>
      <c r="C23" s="45" t="s">
        <v>72</v>
      </c>
      <c r="D23" s="32"/>
      <c r="E23" s="73">
        <v>4304.424</v>
      </c>
      <c r="F23" s="73"/>
      <c r="G23" s="73"/>
      <c r="H23" s="73"/>
      <c r="I23" s="73"/>
      <c r="J23" s="73"/>
      <c r="K23" s="34">
        <f t="shared" si="3"/>
        <v>4304.424</v>
      </c>
    </row>
    <row r="24" spans="2:12" ht="13" x14ac:dyDescent="0.3">
      <c r="B24" s="29" t="s">
        <v>84</v>
      </c>
      <c r="C24" s="45" t="s">
        <v>73</v>
      </c>
      <c r="D24" s="32"/>
      <c r="E24" s="33">
        <v>45897</v>
      </c>
      <c r="F24" s="33"/>
      <c r="G24" s="33"/>
      <c r="H24" s="33"/>
      <c r="I24" s="33"/>
      <c r="J24" s="33"/>
      <c r="K24" s="34">
        <f t="shared" si="3"/>
        <v>45897</v>
      </c>
    </row>
    <row r="25" spans="2:12" ht="14.5" x14ac:dyDescent="0.35">
      <c r="B25" s="55" t="s">
        <v>86</v>
      </c>
      <c r="C25" s="38" t="s">
        <v>118</v>
      </c>
      <c r="D25" s="36">
        <f t="shared" ref="D25:K25" si="4">SUM(D15:D24)</f>
        <v>27634.417000000001</v>
      </c>
      <c r="E25" s="74">
        <f t="shared" si="4"/>
        <v>214114</v>
      </c>
      <c r="F25" s="74"/>
      <c r="G25" s="74"/>
      <c r="H25" s="74"/>
      <c r="I25" s="74">
        <f>SUM(I15:I24)</f>
        <v>1403878.2620000001</v>
      </c>
      <c r="J25" s="74">
        <f>SUM(J15:J24)</f>
        <v>42202.942000000003</v>
      </c>
      <c r="K25" s="75">
        <f t="shared" si="4"/>
        <v>1687829.6209999998</v>
      </c>
    </row>
    <row r="26" spans="2:12" x14ac:dyDescent="0.25">
      <c r="D26" s="5"/>
      <c r="E26" s="5"/>
      <c r="F26" s="5"/>
      <c r="G26" s="5"/>
      <c r="H26" s="5"/>
      <c r="I26" s="5"/>
      <c r="J26" s="5"/>
      <c r="K26" s="5"/>
    </row>
    <row r="27" spans="2:12" x14ac:dyDescent="0.25">
      <c r="D27" s="5"/>
      <c r="E27" s="5"/>
      <c r="F27" s="5"/>
      <c r="G27" s="5"/>
      <c r="H27" s="5"/>
      <c r="I27" s="5"/>
      <c r="J27" s="5"/>
      <c r="K27" s="5"/>
      <c r="L27" s="5"/>
    </row>
    <row r="28" spans="2:12" ht="14.5" x14ac:dyDescent="0.35">
      <c r="C28" s="35" t="s">
        <v>98</v>
      </c>
      <c r="D28" s="35"/>
      <c r="E28" s="5"/>
      <c r="F28" s="5"/>
      <c r="G28" s="5"/>
      <c r="H28" s="5"/>
      <c r="I28" s="5"/>
      <c r="J28" s="5"/>
      <c r="K28" s="5"/>
      <c r="L28" s="5"/>
    </row>
    <row r="29" spans="2:12" x14ac:dyDescent="0.25"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5"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25"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25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5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5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5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5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5">
      <c r="C37" t="s">
        <v>161</v>
      </c>
      <c r="D37" s="13" t="s">
        <v>44</v>
      </c>
      <c r="E37" s="5" t="s">
        <v>160</v>
      </c>
      <c r="F37" s="5"/>
      <c r="G37" s="5"/>
      <c r="H37" s="5"/>
      <c r="I37" s="1"/>
      <c r="J37" s="1"/>
      <c r="K37" s="1"/>
      <c r="L37" s="1"/>
    </row>
    <row r="38" spans="2:12" x14ac:dyDescent="0.25">
      <c r="C38" s="14" t="s">
        <v>95</v>
      </c>
      <c r="D38" s="15">
        <f>D5/(D18+E18)</f>
        <v>0.43947549133545488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5">
      <c r="C39" s="16" t="s">
        <v>96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5">
      <c r="C40" s="1" t="s">
        <v>162</v>
      </c>
      <c r="D40" s="18">
        <f>D18/(D18+E18)</f>
        <v>0.7466168572973132</v>
      </c>
      <c r="E40" s="117">
        <f>E18/(D18+E18)</f>
        <v>0.25338314270268686</v>
      </c>
      <c r="F40" s="5"/>
      <c r="G40" s="5"/>
      <c r="H40" s="5"/>
    </row>
    <row r="44" spans="2:12" ht="13" x14ac:dyDescent="0.3">
      <c r="D44" s="27" t="s">
        <v>44</v>
      </c>
      <c r="E44" s="27" t="s">
        <v>45</v>
      </c>
      <c r="F44" s="27" t="s">
        <v>129</v>
      </c>
      <c r="G44" s="27" t="s">
        <v>139</v>
      </c>
      <c r="H44" s="27" t="s">
        <v>140</v>
      </c>
      <c r="I44" s="27" t="s">
        <v>131</v>
      </c>
      <c r="J44" s="27" t="s">
        <v>46</v>
      </c>
    </row>
    <row r="45" spans="2:12" ht="13" x14ac:dyDescent="0.3">
      <c r="B45" t="s">
        <v>144</v>
      </c>
      <c r="C45" t="s">
        <v>143</v>
      </c>
      <c r="D45" s="28" t="s">
        <v>47</v>
      </c>
      <c r="E45" s="28" t="s">
        <v>127</v>
      </c>
      <c r="F45" s="28" t="s">
        <v>130</v>
      </c>
      <c r="G45" s="28" t="s">
        <v>141</v>
      </c>
      <c r="H45" s="28" t="s">
        <v>142</v>
      </c>
      <c r="I45" s="28" t="s">
        <v>124</v>
      </c>
      <c r="J45" s="28" t="s">
        <v>85</v>
      </c>
      <c r="K45" s="90" t="s">
        <v>48</v>
      </c>
    </row>
    <row r="46" spans="2:12" x14ac:dyDescent="0.25">
      <c r="B46" t="s">
        <v>133</v>
      </c>
      <c r="C46" t="s">
        <v>145</v>
      </c>
      <c r="D46" s="117">
        <f>D18/(D18+E18)</f>
        <v>0.7466168572973132</v>
      </c>
      <c r="E46" s="117"/>
      <c r="K46" s="120">
        <f>SUM(D46:J46)</f>
        <v>0.7466168572973132</v>
      </c>
      <c r="L46" t="s">
        <v>152</v>
      </c>
    </row>
    <row r="47" spans="2:12" x14ac:dyDescent="0.25">
      <c r="B47" t="s">
        <v>133</v>
      </c>
      <c r="C47" t="s">
        <v>163</v>
      </c>
      <c r="E47" s="117">
        <f>E18/(D18+E18)</f>
        <v>0.25338314270268686</v>
      </c>
      <c r="J47" s="117"/>
      <c r="K47" s="120">
        <f>SUM(D47:J47)</f>
        <v>0.25338314270268686</v>
      </c>
      <c r="L47" t="s">
        <v>164</v>
      </c>
    </row>
    <row r="48" spans="2:12" x14ac:dyDescent="0.25">
      <c r="B48" t="s">
        <v>133</v>
      </c>
      <c r="C48" t="s">
        <v>168</v>
      </c>
      <c r="J48" s="117">
        <v>1</v>
      </c>
      <c r="K48" s="120">
        <f>SUM(D48:J48)</f>
        <v>1</v>
      </c>
      <c r="L48" t="s">
        <v>169</v>
      </c>
    </row>
    <row r="49" spans="10:11" x14ac:dyDescent="0.25">
      <c r="J49" s="117"/>
      <c r="K49" s="120"/>
    </row>
    <row r="50" spans="10:11" x14ac:dyDescent="0.25">
      <c r="J50" s="117"/>
      <c r="K50" s="120"/>
    </row>
    <row r="51" spans="10:11" x14ac:dyDescent="0.25">
      <c r="J51" s="117"/>
      <c r="K51" s="120"/>
    </row>
    <row r="52" spans="10:11" x14ac:dyDescent="0.25">
      <c r="J52" s="117"/>
      <c r="K52" s="120"/>
    </row>
    <row r="53" spans="10:11" x14ac:dyDescent="0.25">
      <c r="J53" s="117"/>
      <c r="K53" s="120"/>
    </row>
    <row r="54" spans="10:11" x14ac:dyDescent="0.25">
      <c r="J54" s="117"/>
      <c r="K54" s="120"/>
    </row>
    <row r="55" spans="10:11" x14ac:dyDescent="0.25">
      <c r="J55" s="117"/>
      <c r="K55" s="120"/>
    </row>
    <row r="56" spans="10:11" x14ac:dyDescent="0.25">
      <c r="J56" s="117"/>
      <c r="K56" s="120"/>
    </row>
    <row r="57" spans="10:11" x14ac:dyDescent="0.25">
      <c r="J57" s="117"/>
      <c r="K57" s="120"/>
    </row>
    <row r="58" spans="10:11" x14ac:dyDescent="0.25">
      <c r="J58" s="117"/>
      <c r="K58" s="120"/>
    </row>
    <row r="59" spans="10:11" x14ac:dyDescent="0.25">
      <c r="J59" s="117"/>
      <c r="K59" s="120"/>
    </row>
    <row r="60" spans="10:11" x14ac:dyDescent="0.25">
      <c r="J60" s="117"/>
      <c r="K60" s="120"/>
    </row>
    <row r="61" spans="10:11" x14ac:dyDescent="0.25">
      <c r="J61" s="117"/>
      <c r="K61" s="120"/>
    </row>
    <row r="62" spans="10:11" x14ac:dyDescent="0.25">
      <c r="J62" s="117"/>
      <c r="K62" s="120"/>
    </row>
    <row r="63" spans="10:11" x14ac:dyDescent="0.25">
      <c r="J63" s="117"/>
      <c r="K63" s="120"/>
    </row>
    <row r="65" spans="2:5" ht="13" x14ac:dyDescent="0.3">
      <c r="C65" s="82" t="s">
        <v>147</v>
      </c>
      <c r="D65" s="83" t="s">
        <v>148</v>
      </c>
      <c r="E65" s="84" t="s">
        <v>149</v>
      </c>
    </row>
    <row r="66" spans="2:5" ht="13" x14ac:dyDescent="0.3">
      <c r="B66" s="12" t="s">
        <v>146</v>
      </c>
      <c r="C66" s="85" t="s">
        <v>150</v>
      </c>
      <c r="D66" s="85" t="s">
        <v>151</v>
      </c>
      <c r="E66" s="86" t="s">
        <v>149</v>
      </c>
    </row>
    <row r="67" spans="2:5" ht="13" x14ac:dyDescent="0.3">
      <c r="B67" s="29" t="s">
        <v>133</v>
      </c>
      <c r="C67" s="87">
        <v>1</v>
      </c>
      <c r="D67" s="88"/>
      <c r="E67" s="89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67"/>
  <sheetViews>
    <sheetView zoomScale="122" zoomScaleNormal="122" workbookViewId="0">
      <selection activeCell="D46" sqref="D46"/>
    </sheetView>
  </sheetViews>
  <sheetFormatPr defaultRowHeight="12.5" x14ac:dyDescent="0.25"/>
  <cols>
    <col min="1" max="1" width="3" bestFit="1" customWidth="1"/>
    <col min="2" max="2" width="16.54296875" bestFit="1" customWidth="1"/>
    <col min="3" max="3" width="40.08984375" bestFit="1" customWidth="1"/>
    <col min="4" max="4" width="13.36328125" customWidth="1"/>
    <col min="5" max="8" width="15.453125" customWidth="1"/>
    <col min="9" max="10" width="13.36328125" customWidth="1"/>
    <col min="11" max="11" width="10.54296875" customWidth="1"/>
    <col min="12" max="12" width="10.90625" customWidth="1"/>
    <col min="13" max="13" width="15.54296875" bestFit="1" customWidth="1"/>
    <col min="14" max="14" width="2" bestFit="1" customWidth="1"/>
    <col min="15" max="15" width="12.36328125" bestFit="1" customWidth="1"/>
    <col min="17" max="17" width="6.6328125" bestFit="1" customWidth="1"/>
    <col min="18" max="18" width="9.36328125" bestFit="1" customWidth="1"/>
    <col min="19" max="19" width="2" bestFit="1" customWidth="1"/>
  </cols>
  <sheetData>
    <row r="1" spans="2:18" ht="13" x14ac:dyDescent="0.3">
      <c r="O1" s="12" t="s">
        <v>90</v>
      </c>
      <c r="P1" s="1" t="s">
        <v>91</v>
      </c>
      <c r="Q1" s="1" t="s">
        <v>92</v>
      </c>
      <c r="R1" s="1" t="s">
        <v>93</v>
      </c>
    </row>
    <row r="2" spans="2:18" ht="15.5" x14ac:dyDescent="0.35">
      <c r="D2" s="27" t="s">
        <v>44</v>
      </c>
      <c r="E2" s="27" t="s">
        <v>45</v>
      </c>
      <c r="F2" s="27" t="s">
        <v>129</v>
      </c>
      <c r="G2" s="27" t="s">
        <v>139</v>
      </c>
      <c r="H2" s="27" t="s">
        <v>140</v>
      </c>
      <c r="I2" s="27" t="s">
        <v>131</v>
      </c>
      <c r="J2" s="27" t="s">
        <v>46</v>
      </c>
      <c r="K2" s="20"/>
      <c r="P2" s="24" t="s">
        <v>125</v>
      </c>
      <c r="Q2" s="7" t="s">
        <v>165</v>
      </c>
      <c r="R2" s="7" t="s">
        <v>94</v>
      </c>
    </row>
    <row r="3" spans="2:18" ht="13" x14ac:dyDescent="0.3">
      <c r="C3" s="4"/>
      <c r="D3" s="28" t="s">
        <v>174</v>
      </c>
      <c r="E3" s="28" t="s">
        <v>127</v>
      </c>
      <c r="F3" s="28" t="s">
        <v>130</v>
      </c>
      <c r="G3" s="28" t="s">
        <v>141</v>
      </c>
      <c r="H3" s="28" t="s">
        <v>142</v>
      </c>
      <c r="I3" s="28" t="s">
        <v>124</v>
      </c>
      <c r="J3" s="28" t="s">
        <v>85</v>
      </c>
      <c r="K3" s="22" t="s">
        <v>48</v>
      </c>
    </row>
    <row r="4" spans="2:18" x14ac:dyDescent="0.25">
      <c r="C4" s="59" t="s">
        <v>49</v>
      </c>
      <c r="E4" s="56"/>
      <c r="F4" s="4"/>
      <c r="G4" s="4"/>
      <c r="H4" s="4"/>
      <c r="I4" s="4"/>
      <c r="J4" s="4"/>
      <c r="K4" s="4"/>
    </row>
    <row r="5" spans="2:18" ht="14.5" x14ac:dyDescent="0.35">
      <c r="B5" s="29" t="s">
        <v>50</v>
      </c>
      <c r="C5" s="60" t="s">
        <v>51</v>
      </c>
      <c r="D5" s="57">
        <f>'EBF TJ'!D5*0.2777778</f>
        <v>4518.4003614720004</v>
      </c>
      <c r="E5" s="57">
        <f>'EBF TJ'!E5*0.2777778</f>
        <v>0</v>
      </c>
      <c r="F5" s="57">
        <f>'EBF TJ'!F5*0.2777778</f>
        <v>16770.812452776001</v>
      </c>
      <c r="G5" s="57">
        <f>'EBF TJ'!G5*0.2777778</f>
        <v>35.000002800000004</v>
      </c>
      <c r="H5" s="57">
        <f>'EBF TJ'!H5*0.2777778</f>
        <v>529.00004232000003</v>
      </c>
      <c r="I5" s="57">
        <f>'EBF TJ'!I5*0.2777778</f>
        <v>482270.01413715363</v>
      </c>
      <c r="J5" s="57">
        <f>'EBF TJ'!J5*0.2777778</f>
        <v>17334.812497896</v>
      </c>
      <c r="K5" s="26">
        <f>SUM(D5:J5)</f>
        <v>521458.03949441767</v>
      </c>
      <c r="O5" s="5"/>
    </row>
    <row r="6" spans="2:18" ht="14.5" x14ac:dyDescent="0.35">
      <c r="B6" s="29" t="s">
        <v>52</v>
      </c>
      <c r="C6" s="60" t="s">
        <v>53</v>
      </c>
      <c r="D6" s="57">
        <f>'EBF TJ'!D6*0.2777778</f>
        <v>3157.6616415018002</v>
      </c>
      <c r="E6" s="57">
        <f>'EBF TJ'!E6*0.2777778</f>
        <v>59352.884748230397</v>
      </c>
      <c r="F6" s="57">
        <f>'EBF TJ'!F6*0.2777778</f>
        <v>0</v>
      </c>
      <c r="G6" s="57">
        <f>'EBF TJ'!G6*0.2777778</f>
        <v>0</v>
      </c>
      <c r="H6" s="57">
        <f>'EBF TJ'!H6*0.2777778</f>
        <v>0</v>
      </c>
      <c r="I6" s="57">
        <f>'EBF TJ'!I6*0.2777778</f>
        <v>0</v>
      </c>
      <c r="J6" s="57">
        <f>'EBF TJ'!J6*0.2777778</f>
        <v>0</v>
      </c>
      <c r="K6" s="26">
        <f>SUM(D6:J6)</f>
        <v>62510.546389732197</v>
      </c>
    </row>
    <row r="7" spans="2:18" ht="14.5" x14ac:dyDescent="0.35">
      <c r="B7" s="29" t="s">
        <v>128</v>
      </c>
      <c r="C7" s="60" t="s">
        <v>132</v>
      </c>
      <c r="D7" s="57">
        <f>'EBF TJ'!D7*0.2777778</f>
        <v>0</v>
      </c>
      <c r="E7" s="57">
        <f>'EBF TJ'!E7*0.2777778</f>
        <v>0</v>
      </c>
      <c r="F7" s="57">
        <f>'EBF TJ'!F7*0.2777778</f>
        <v>0</v>
      </c>
      <c r="G7" s="57">
        <f>'EBF TJ'!G7*0.2777778</f>
        <v>0</v>
      </c>
      <c r="H7" s="57">
        <f>'EBF TJ'!H7*0.2777778</f>
        <v>0</v>
      </c>
      <c r="I7" s="57">
        <f>'EBF TJ'!I7*0.2777778</f>
        <v>0</v>
      </c>
      <c r="J7" s="57">
        <f>'EBF TJ'!J7*0.2777778</f>
        <v>-1750.0001400000001</v>
      </c>
      <c r="K7" s="26"/>
    </row>
    <row r="8" spans="2:18" ht="14.5" x14ac:dyDescent="0.35">
      <c r="B8" s="55" t="s">
        <v>116</v>
      </c>
      <c r="C8" s="38" t="s">
        <v>117</v>
      </c>
      <c r="D8" s="38">
        <f>SUM(D5:D6)</f>
        <v>7676.0620029738002</v>
      </c>
      <c r="E8" s="38">
        <f t="shared" ref="E8:K8" si="0">SUM(E5:E6)</f>
        <v>59352.884748230397</v>
      </c>
      <c r="F8" s="38">
        <f t="shared" si="0"/>
        <v>16770.812452776001</v>
      </c>
      <c r="G8" s="38">
        <f>SUM(G5:G7)</f>
        <v>35.000002800000004</v>
      </c>
      <c r="H8" s="38">
        <f>SUM(H5:H7)</f>
        <v>529.00004232000003</v>
      </c>
      <c r="I8" s="38">
        <f>SUM(I5:I7)</f>
        <v>482270.01413715363</v>
      </c>
      <c r="J8" s="38">
        <f>SUM(J5+J6-J7)</f>
        <v>19084.812637896001</v>
      </c>
      <c r="K8" s="38">
        <f t="shared" si="0"/>
        <v>583968.58588414988</v>
      </c>
    </row>
    <row r="9" spans="2:18" ht="13" x14ac:dyDescent="0.3">
      <c r="B9" s="23"/>
      <c r="C9" s="61" t="s">
        <v>54</v>
      </c>
      <c r="D9" s="4"/>
      <c r="E9" s="4"/>
      <c r="F9" s="4"/>
      <c r="G9" s="4"/>
      <c r="H9" s="4"/>
      <c r="I9" s="4"/>
      <c r="J9" s="4"/>
      <c r="K9" s="39"/>
    </row>
    <row r="10" spans="2:18" ht="13" x14ac:dyDescent="0.3">
      <c r="B10" s="29" t="s">
        <v>55</v>
      </c>
      <c r="C10" s="42" t="s">
        <v>56</v>
      </c>
      <c r="D10" s="30"/>
      <c r="E10" s="30"/>
      <c r="F10" s="30"/>
      <c r="G10" s="30"/>
      <c r="H10" s="30"/>
      <c r="I10" s="30"/>
      <c r="J10" s="30">
        <f>'EBF TJ'!J10*0.2777778</f>
        <v>-58.055560200000002</v>
      </c>
      <c r="K10" s="31"/>
    </row>
    <row r="11" spans="2:18" ht="14.5" x14ac:dyDescent="0.35">
      <c r="B11" s="29" t="s">
        <v>46</v>
      </c>
      <c r="C11" s="43" t="s">
        <v>57</v>
      </c>
      <c r="D11" s="131"/>
      <c r="E11" s="131">
        <f>'EBF TJ'!E11*0.2777778</f>
        <v>-2.0000001600000004</v>
      </c>
      <c r="F11" s="131">
        <f>'EBF TJ'!F11*0.2777778</f>
        <v>-16770.812452776001</v>
      </c>
      <c r="G11" s="131"/>
      <c r="H11" s="131"/>
      <c r="I11" s="131"/>
      <c r="J11" s="131"/>
      <c r="K11" s="131"/>
    </row>
    <row r="12" spans="2:18" ht="13" x14ac:dyDescent="0.3">
      <c r="B12" s="29" t="s">
        <v>58</v>
      </c>
      <c r="C12" s="43" t="s">
        <v>138</v>
      </c>
      <c r="D12" s="30">
        <f>'EBF TJ'!D12*0.2777778</f>
        <v>-7676.1117252000004</v>
      </c>
      <c r="E12" s="30">
        <f>'EBF TJ'!E12*0.2777778</f>
        <v>-59354.884748390403</v>
      </c>
      <c r="F12" s="30">
        <f>'EBF TJ'!F12*0.2777778</f>
        <v>0</v>
      </c>
      <c r="G12" s="30">
        <f>'EBF TJ'!G12*0.2777778</f>
        <v>0</v>
      </c>
      <c r="H12" s="30">
        <f>'EBF TJ'!H12*0.2777778</f>
        <v>0</v>
      </c>
      <c r="I12" s="30">
        <f>'EBF TJ'!I12*0.2777778</f>
        <v>-482270.01413715363</v>
      </c>
      <c r="J12" s="30">
        <f>'EBF TJ'!J12*0.2777778</f>
        <v>0</v>
      </c>
      <c r="K12" s="30">
        <f>SUM(D12:J12)</f>
        <v>-549301.01061074401</v>
      </c>
    </row>
    <row r="13" spans="2:18" ht="14.5" x14ac:dyDescent="0.35">
      <c r="B13" s="23"/>
      <c r="C13" s="38" t="s">
        <v>59</v>
      </c>
      <c r="D13" s="58">
        <f>SUM(D10:D12)</f>
        <v>-7676.1117252000004</v>
      </c>
      <c r="E13" s="40">
        <f>SUM(E10:E12)</f>
        <v>-59356.884748550401</v>
      </c>
      <c r="F13" s="40"/>
      <c r="G13" s="40"/>
      <c r="H13" s="40"/>
      <c r="I13" s="40"/>
      <c r="J13" s="40">
        <f>SUM(J10:J12)</f>
        <v>-58.055560200000002</v>
      </c>
      <c r="K13" s="41">
        <f>SUM(K10:K12)</f>
        <v>-549301.01061074401</v>
      </c>
    </row>
    <row r="14" spans="2:18" ht="13" x14ac:dyDescent="0.3">
      <c r="B14" s="23"/>
      <c r="C14" s="61" t="s">
        <v>60</v>
      </c>
      <c r="D14" s="4"/>
      <c r="E14" s="4"/>
      <c r="F14" s="4"/>
      <c r="G14" s="4"/>
      <c r="H14" s="4"/>
      <c r="I14" s="4"/>
      <c r="J14" s="4"/>
      <c r="K14" s="39"/>
    </row>
    <row r="15" spans="2:18" ht="13" x14ac:dyDescent="0.3">
      <c r="B15" s="29" t="s">
        <v>61</v>
      </c>
      <c r="C15" s="44" t="s">
        <v>62</v>
      </c>
      <c r="D15" s="32">
        <f>'EBF TJ'!D15*0.2777778</f>
        <v>0</v>
      </c>
      <c r="E15" s="32">
        <f>'EBF TJ'!E15*0.2777778</f>
        <v>1360.7089977456001</v>
      </c>
      <c r="F15" s="32">
        <f>'EBF TJ'!F15*0.2777778</f>
        <v>0</v>
      </c>
      <c r="G15" s="32">
        <f>'EBF TJ'!G15*0.2777778</f>
        <v>0</v>
      </c>
      <c r="H15" s="32">
        <f>'EBF TJ'!H15*0.2777778</f>
        <v>0</v>
      </c>
      <c r="I15" s="32">
        <f>'EBF TJ'!I15*0.2777778</f>
        <v>385680.271132197</v>
      </c>
      <c r="J15" s="32">
        <f>'EBF TJ'!J15*0.2777778</f>
        <v>6094.1204875295998</v>
      </c>
      <c r="K15" s="34">
        <f t="shared" ref="K15:K24" si="1">SUM(D15:J15)</f>
        <v>393135.1006174722</v>
      </c>
    </row>
    <row r="16" spans="2:18" ht="13" x14ac:dyDescent="0.3">
      <c r="B16" s="29" t="s">
        <v>63</v>
      </c>
      <c r="C16" s="45" t="s">
        <v>64</v>
      </c>
      <c r="D16" s="32">
        <f>'EBF TJ'!D16*0.2777778</f>
        <v>0</v>
      </c>
      <c r="E16" s="32">
        <f>'EBF TJ'!E16*0.2777778</f>
        <v>854.6817350412</v>
      </c>
      <c r="F16" s="32">
        <f>'EBF TJ'!F16*0.2777778</f>
        <v>0</v>
      </c>
      <c r="G16" s="32">
        <f>'EBF TJ'!G16*0.2777778</f>
        <v>0</v>
      </c>
      <c r="H16" s="32">
        <f>'EBF TJ'!H16*0.2777778</f>
        <v>0</v>
      </c>
      <c r="I16" s="32">
        <f>'EBF TJ'!I16*0.2777778</f>
        <v>4175.1031117860002</v>
      </c>
      <c r="J16" s="32">
        <f>'EBF TJ'!J16*0.2777778</f>
        <v>2570.2302056183999</v>
      </c>
      <c r="K16" s="34">
        <f t="shared" si="1"/>
        <v>7600.0150524456003</v>
      </c>
    </row>
    <row r="17" spans="2:12" ht="13" x14ac:dyDescent="0.3">
      <c r="B17" s="29" t="s">
        <v>65</v>
      </c>
      <c r="C17" s="45" t="s">
        <v>66</v>
      </c>
      <c r="D17" s="32">
        <f>'EBF TJ'!D17*0.2777778</f>
        <v>0</v>
      </c>
      <c r="E17" s="32">
        <f>'EBF TJ'!E17*0.2777778</f>
        <v>0</v>
      </c>
      <c r="F17" s="32">
        <f>'EBF TJ'!F17*0.2777778</f>
        <v>0</v>
      </c>
      <c r="G17" s="32">
        <f>'EBF TJ'!G17*0.2777778</f>
        <v>0</v>
      </c>
      <c r="H17" s="32">
        <f>'EBF TJ'!H17*0.2777778</f>
        <v>0</v>
      </c>
      <c r="I17" s="32">
        <f>'EBF TJ'!I17*0.2777778</f>
        <v>0</v>
      </c>
      <c r="J17" s="32">
        <f>'EBF TJ'!J17*0.2777778</f>
        <v>0</v>
      </c>
      <c r="K17" s="34">
        <f t="shared" si="1"/>
        <v>0</v>
      </c>
    </row>
    <row r="18" spans="2:12" s="151" customFormat="1" ht="13" x14ac:dyDescent="0.3">
      <c r="B18" s="147" t="s">
        <v>133</v>
      </c>
      <c r="C18" s="148" t="s">
        <v>134</v>
      </c>
      <c r="D18" s="149">
        <f>'EBF TJ'!D18*0.2777778</f>
        <v>7676.2275585426005</v>
      </c>
      <c r="E18" s="149">
        <f>'EBF TJ'!E18*0.2777778</f>
        <v>2605.1202084096003</v>
      </c>
      <c r="F18" s="149">
        <f>'EBF TJ'!F18*0.2777778</f>
        <v>0</v>
      </c>
      <c r="G18" s="149">
        <f>'EBF TJ'!G18*0.2777778</f>
        <v>0</v>
      </c>
      <c r="H18" s="149">
        <f>'EBF TJ'!H18*0.2777778</f>
        <v>0</v>
      </c>
      <c r="I18" s="149">
        <f>'EBF TJ'!I18*0.2777778</f>
        <v>0</v>
      </c>
      <c r="J18" s="149">
        <f>'EBF TJ'!J18*0.2777778</f>
        <v>2861.5612011470998</v>
      </c>
      <c r="K18" s="150">
        <f t="shared" si="1"/>
        <v>13142.9089680993</v>
      </c>
    </row>
    <row r="19" spans="2:12" ht="13" x14ac:dyDescent="0.3">
      <c r="B19" s="29" t="s">
        <v>135</v>
      </c>
      <c r="C19" s="45" t="s">
        <v>136</v>
      </c>
      <c r="D19" s="32">
        <f>'EBF TJ'!D19*0.2777778</f>
        <v>0</v>
      </c>
      <c r="E19" s="32">
        <f>'EBF TJ'!E19*0.2777778</f>
        <v>8781.4640358504003</v>
      </c>
      <c r="F19" s="32">
        <f>'EBF TJ'!F19*0.2777778</f>
        <v>0</v>
      </c>
      <c r="G19" s="32">
        <f>'EBF TJ'!G19*0.2777778</f>
        <v>0</v>
      </c>
      <c r="H19" s="32">
        <f>'EBF TJ'!H19*0.2777778</f>
        <v>0</v>
      </c>
      <c r="I19" s="32">
        <f>'EBF TJ'!I19*0.2777778</f>
        <v>0</v>
      </c>
      <c r="J19" s="32">
        <f>'EBF TJ'!J19*0.2777778</f>
        <v>150.60848427090019</v>
      </c>
      <c r="K19" s="34">
        <f t="shared" si="1"/>
        <v>8932.0725201213008</v>
      </c>
    </row>
    <row r="20" spans="2:12" ht="13" x14ac:dyDescent="0.3">
      <c r="B20" s="29" t="s">
        <v>67</v>
      </c>
      <c r="C20" s="45" t="s">
        <v>137</v>
      </c>
      <c r="D20" s="32">
        <f>'EBF TJ'!D20*0.2777778</f>
        <v>0</v>
      </c>
      <c r="E20" s="32">
        <f>'EBF TJ'!E20*0.2777778</f>
        <v>2024.9482175514001</v>
      </c>
      <c r="F20" s="32">
        <f>'EBF TJ'!F20*0.2777778</f>
        <v>0</v>
      </c>
      <c r="G20" s="32">
        <f>'EBF TJ'!G20*0.2777778</f>
        <v>0</v>
      </c>
      <c r="H20" s="32">
        <f>'EBF TJ'!H20*0.2777778</f>
        <v>0</v>
      </c>
      <c r="I20" s="32">
        <f>'EBF TJ'!I20*0.2777778</f>
        <v>0</v>
      </c>
      <c r="J20" s="32">
        <f>'EBF TJ'!J20*0.2777778</f>
        <v>0</v>
      </c>
      <c r="K20" s="34">
        <f t="shared" si="1"/>
        <v>2024.9482175514001</v>
      </c>
    </row>
    <row r="21" spans="2:12" ht="13" x14ac:dyDescent="0.3">
      <c r="B21" s="29" t="s">
        <v>68</v>
      </c>
      <c r="C21" s="45" t="s">
        <v>69</v>
      </c>
      <c r="D21" s="32">
        <f>'EBF TJ'!D21*0.2777778</f>
        <v>0</v>
      </c>
      <c r="E21" s="32">
        <f>'EBF TJ'!E21*0.2777778</f>
        <v>27879.403341463199</v>
      </c>
      <c r="F21" s="32">
        <f>'EBF TJ'!F21*0.2777778</f>
        <v>0</v>
      </c>
      <c r="G21" s="32">
        <f>'EBF TJ'!G21*0.2777778</f>
        <v>0</v>
      </c>
      <c r="H21" s="32">
        <f>'EBF TJ'!H21*0.2777778</f>
        <v>0</v>
      </c>
      <c r="I21" s="32">
        <f>'EBF TJ'!I21*0.2777778</f>
        <v>110.84084220060001</v>
      </c>
      <c r="J21" s="32">
        <f>'EBF TJ'!J21*0.2777778</f>
        <v>46.520003721600006</v>
      </c>
      <c r="K21" s="34">
        <f t="shared" si="1"/>
        <v>28036.764187385401</v>
      </c>
    </row>
    <row r="22" spans="2:12" ht="13" x14ac:dyDescent="0.3">
      <c r="B22" s="29" t="s">
        <v>70</v>
      </c>
      <c r="C22" s="46" t="s">
        <v>71</v>
      </c>
      <c r="D22" s="32">
        <f>'EBF TJ'!D22*0.2777778</f>
        <v>0</v>
      </c>
      <c r="E22" s="32">
        <f>'EBF TJ'!E22*0.2777778</f>
        <v>2024.9482175514001</v>
      </c>
      <c r="F22" s="32">
        <f>'EBF TJ'!F22*0.2777778</f>
        <v>0</v>
      </c>
      <c r="G22" s="32">
        <f>'EBF TJ'!G22*0.2777778</f>
        <v>0</v>
      </c>
      <c r="H22" s="32">
        <f>'EBF TJ'!H22*0.2777778</f>
        <v>0</v>
      </c>
      <c r="I22" s="32">
        <f>'EBF TJ'!I22*0.2777778</f>
        <v>0</v>
      </c>
      <c r="J22" s="32">
        <f>'EBF TJ'!J22*0.2777778</f>
        <v>0</v>
      </c>
      <c r="K22" s="34">
        <f t="shared" si="1"/>
        <v>2024.9482175514001</v>
      </c>
    </row>
    <row r="23" spans="2:12" ht="13" x14ac:dyDescent="0.3">
      <c r="B23" s="29" t="s">
        <v>83</v>
      </c>
      <c r="C23" s="45" t="s">
        <v>72</v>
      </c>
      <c r="D23" s="32">
        <f>'EBF TJ'!D23*0.2777778</f>
        <v>0</v>
      </c>
      <c r="E23" s="32">
        <f>'EBF TJ'!E23*0.2777778</f>
        <v>1195.6734289872002</v>
      </c>
      <c r="F23" s="32">
        <f>'EBF TJ'!F23*0.2777778</f>
        <v>0</v>
      </c>
      <c r="G23" s="32">
        <f>'EBF TJ'!G23*0.2777778</f>
        <v>0</v>
      </c>
      <c r="H23" s="32">
        <f>'EBF TJ'!H23*0.2777778</f>
        <v>0</v>
      </c>
      <c r="I23" s="32">
        <f>'EBF TJ'!I23*0.2777778</f>
        <v>0</v>
      </c>
      <c r="J23" s="32">
        <f>'EBF TJ'!J23*0.2777778</f>
        <v>0</v>
      </c>
      <c r="K23" s="76">
        <f t="shared" si="1"/>
        <v>1195.6734289872002</v>
      </c>
    </row>
    <row r="24" spans="2:12" ht="13" x14ac:dyDescent="0.3">
      <c r="B24" s="29" t="s">
        <v>84</v>
      </c>
      <c r="C24" s="45" t="s">
        <v>73</v>
      </c>
      <c r="D24" s="32">
        <f>'EBF TJ'!D24*0.2777778</f>
        <v>0</v>
      </c>
      <c r="E24" s="32">
        <f>'EBF TJ'!E24*0.2777778</f>
        <v>12749.167686600002</v>
      </c>
      <c r="F24" s="32">
        <f>'EBF TJ'!F24*0.2777778</f>
        <v>0</v>
      </c>
      <c r="G24" s="32">
        <f>'EBF TJ'!G24*0.2777778</f>
        <v>0</v>
      </c>
      <c r="H24" s="32">
        <f>'EBF TJ'!H24*0.2777778</f>
        <v>0</v>
      </c>
      <c r="I24" s="32">
        <f>'EBF TJ'!I24*0.2777778</f>
        <v>0</v>
      </c>
      <c r="J24" s="32">
        <f>'EBF TJ'!J24*0.2777778</f>
        <v>0</v>
      </c>
      <c r="K24" s="77">
        <f t="shared" si="1"/>
        <v>12749.167686600002</v>
      </c>
    </row>
    <row r="25" spans="2:12" ht="14.5" x14ac:dyDescent="0.35">
      <c r="B25" s="55" t="s">
        <v>86</v>
      </c>
      <c r="C25" s="38" t="s">
        <v>118</v>
      </c>
      <c r="D25" s="36">
        <f t="shared" ref="D25:K25" si="2">SUM(D15:D24)</f>
        <v>7676.2275585426005</v>
      </c>
      <c r="E25" s="74">
        <f t="shared" si="2"/>
        <v>59476.115869200003</v>
      </c>
      <c r="F25" s="74"/>
      <c r="G25" s="74"/>
      <c r="H25" s="74"/>
      <c r="I25" s="74">
        <f>SUM(I15:I24)</f>
        <v>389966.21508618363</v>
      </c>
      <c r="J25" s="74">
        <f>SUM(J15:J24)</f>
        <v>11723.040382287601</v>
      </c>
      <c r="K25" s="75">
        <f t="shared" si="2"/>
        <v>468841.59889621375</v>
      </c>
    </row>
    <row r="26" spans="2:12" x14ac:dyDescent="0.25">
      <c r="D26" s="5"/>
      <c r="E26" s="5"/>
      <c r="F26" s="5"/>
      <c r="G26" s="5"/>
      <c r="H26" s="5"/>
      <c r="I26" s="5"/>
      <c r="J26" s="5"/>
      <c r="K26" s="5"/>
    </row>
    <row r="27" spans="2:12" x14ac:dyDescent="0.25">
      <c r="D27" s="5"/>
      <c r="E27" s="5"/>
      <c r="F27" s="5"/>
      <c r="G27" s="5"/>
      <c r="H27" s="5"/>
      <c r="I27" s="5"/>
      <c r="J27" s="5"/>
      <c r="K27" s="5"/>
      <c r="L27" s="5"/>
    </row>
    <row r="28" spans="2:12" ht="14.5" x14ac:dyDescent="0.35">
      <c r="C28" s="35" t="s">
        <v>98</v>
      </c>
      <c r="D28" s="35"/>
      <c r="E28" s="5"/>
      <c r="F28" s="5"/>
      <c r="G28" s="5"/>
      <c r="H28" s="5"/>
      <c r="I28" s="5"/>
      <c r="J28" s="5"/>
      <c r="K28" s="5"/>
      <c r="L28" s="5"/>
    </row>
    <row r="29" spans="2:12" x14ac:dyDescent="0.25">
      <c r="D29" s="5"/>
      <c r="E29" s="5"/>
      <c r="F29" s="5"/>
      <c r="G29" s="5"/>
      <c r="H29" s="5"/>
      <c r="I29" s="5"/>
      <c r="J29" s="5"/>
      <c r="K29" s="5"/>
      <c r="L29" s="5"/>
    </row>
    <row r="30" spans="2:12" x14ac:dyDescent="0.25">
      <c r="D30" s="5"/>
      <c r="E30" s="5"/>
      <c r="F30" s="5"/>
      <c r="G30" s="5"/>
      <c r="H30" s="5"/>
      <c r="I30" s="5"/>
      <c r="J30" s="5"/>
      <c r="K30" s="5"/>
      <c r="L30" s="5"/>
    </row>
    <row r="31" spans="2:12" x14ac:dyDescent="0.25">
      <c r="D31" s="5"/>
      <c r="E31" s="5"/>
      <c r="F31" s="5"/>
      <c r="G31" s="5"/>
      <c r="H31" s="5"/>
      <c r="I31" s="5"/>
      <c r="J31" s="5"/>
      <c r="K31" s="5"/>
      <c r="L31" s="5"/>
    </row>
    <row r="32" spans="2:12" x14ac:dyDescent="0.25">
      <c r="D32" s="5"/>
      <c r="E32" s="5"/>
      <c r="F32" s="5"/>
      <c r="G32" s="5"/>
      <c r="H32" s="5"/>
      <c r="I32" s="5"/>
      <c r="J32" s="5"/>
      <c r="K32" s="5"/>
      <c r="L32" s="5"/>
    </row>
    <row r="33" spans="2:12" x14ac:dyDescent="0.25">
      <c r="D33" s="5"/>
      <c r="E33" s="5"/>
      <c r="F33" s="5"/>
      <c r="G33" s="5"/>
      <c r="H33" s="5"/>
      <c r="I33" s="5"/>
      <c r="J33" s="5"/>
      <c r="K33" s="5"/>
      <c r="L33" s="5"/>
    </row>
    <row r="34" spans="2:12" x14ac:dyDescent="0.25">
      <c r="D34" s="5"/>
      <c r="E34" s="5"/>
      <c r="F34" s="5"/>
      <c r="G34" s="5"/>
      <c r="H34" s="5"/>
      <c r="I34" s="5"/>
      <c r="J34" s="5"/>
      <c r="K34" s="5"/>
      <c r="L34" s="5"/>
    </row>
    <row r="35" spans="2:12" x14ac:dyDescent="0.25">
      <c r="D35" s="5"/>
      <c r="E35" s="5"/>
      <c r="F35" s="5"/>
      <c r="G35" s="5"/>
      <c r="H35" s="5"/>
      <c r="I35" s="5"/>
      <c r="J35" s="5"/>
      <c r="K35" s="5"/>
      <c r="L35" s="5"/>
    </row>
    <row r="36" spans="2:12" x14ac:dyDescent="0.25">
      <c r="D36" s="5"/>
      <c r="E36" s="5"/>
      <c r="F36" s="5"/>
      <c r="G36" s="5"/>
      <c r="H36" s="5"/>
      <c r="I36" s="5"/>
      <c r="J36" s="5"/>
      <c r="K36" s="5"/>
      <c r="L36" s="5"/>
    </row>
    <row r="37" spans="2:12" x14ac:dyDescent="0.25">
      <c r="C37" t="s">
        <v>161</v>
      </c>
      <c r="D37" s="13" t="s">
        <v>44</v>
      </c>
      <c r="E37" s="5" t="s">
        <v>160</v>
      </c>
      <c r="F37" s="5"/>
      <c r="G37" s="5"/>
      <c r="H37" s="5"/>
      <c r="I37" s="1"/>
      <c r="J37" s="1"/>
      <c r="K37" s="1"/>
      <c r="L37" s="1"/>
    </row>
    <row r="38" spans="2:12" x14ac:dyDescent="0.25">
      <c r="C38" s="14" t="s">
        <v>95</v>
      </c>
      <c r="D38" s="15">
        <f>D5/(D18+E18)</f>
        <v>0.43947549133545494</v>
      </c>
      <c r="E38" s="5"/>
      <c r="F38" s="5"/>
      <c r="G38" s="5"/>
      <c r="H38" s="5"/>
      <c r="I38" s="18"/>
      <c r="J38" s="18"/>
      <c r="K38" s="18"/>
      <c r="L38" s="18"/>
    </row>
    <row r="39" spans="2:12" x14ac:dyDescent="0.25">
      <c r="C39" s="16" t="s">
        <v>96</v>
      </c>
      <c r="D39" s="17">
        <f>D6/(D18+E18)</f>
        <v>0.30712526344567531</v>
      </c>
      <c r="E39" s="5"/>
      <c r="F39" s="5"/>
      <c r="G39" s="5"/>
      <c r="H39" s="5"/>
      <c r="I39" s="18"/>
      <c r="J39" s="18"/>
      <c r="K39" s="18"/>
      <c r="L39" s="18"/>
    </row>
    <row r="40" spans="2:12" x14ac:dyDescent="0.25">
      <c r="C40" s="1" t="s">
        <v>162</v>
      </c>
      <c r="D40" s="18">
        <f>D18/(D18+E18)</f>
        <v>0.7466168572973132</v>
      </c>
      <c r="E40" s="117">
        <f>E18/(D18+E18)</f>
        <v>0.25338314270268686</v>
      </c>
      <c r="F40" s="5"/>
      <c r="G40" s="5"/>
      <c r="H40" s="5"/>
    </row>
    <row r="44" spans="2:12" ht="13" x14ac:dyDescent="0.3">
      <c r="D44" s="27" t="s">
        <v>44</v>
      </c>
      <c r="E44" s="27" t="s">
        <v>45</v>
      </c>
      <c r="F44" s="27" t="s">
        <v>129</v>
      </c>
      <c r="G44" s="27" t="s">
        <v>139</v>
      </c>
      <c r="H44" s="27" t="s">
        <v>140</v>
      </c>
      <c r="I44" s="27" t="s">
        <v>131</v>
      </c>
      <c r="J44" s="27" t="s">
        <v>46</v>
      </c>
    </row>
    <row r="45" spans="2:12" ht="13" x14ac:dyDescent="0.3">
      <c r="B45" t="s">
        <v>144</v>
      </c>
      <c r="C45" t="s">
        <v>143</v>
      </c>
      <c r="D45" s="28" t="s">
        <v>47</v>
      </c>
      <c r="E45" s="28" t="s">
        <v>127</v>
      </c>
      <c r="F45" s="28" t="s">
        <v>130</v>
      </c>
      <c r="G45" s="28" t="s">
        <v>141</v>
      </c>
      <c r="H45" s="28" t="s">
        <v>142</v>
      </c>
      <c r="I45" s="28" t="s">
        <v>124</v>
      </c>
      <c r="J45" s="28" t="s">
        <v>85</v>
      </c>
      <c r="K45" s="90" t="s">
        <v>48</v>
      </c>
    </row>
    <row r="46" spans="2:12" x14ac:dyDescent="0.25">
      <c r="B46" t="s">
        <v>133</v>
      </c>
      <c r="C46" t="s">
        <v>145</v>
      </c>
      <c r="D46" s="117">
        <f>D18/(D18+E18)</f>
        <v>0.7466168572973132</v>
      </c>
      <c r="E46" s="117"/>
      <c r="K46" s="120">
        <f>SUM(D46:J46)</f>
        <v>0.7466168572973132</v>
      </c>
      <c r="L46" t="s">
        <v>152</v>
      </c>
    </row>
    <row r="47" spans="2:12" x14ac:dyDescent="0.25">
      <c r="B47" t="s">
        <v>133</v>
      </c>
      <c r="C47" t="s">
        <v>163</v>
      </c>
      <c r="E47" s="117">
        <f>E18/(D18+E18)</f>
        <v>0.25338314270268686</v>
      </c>
      <c r="J47" s="117"/>
      <c r="K47" s="120">
        <f>SUM(D47:J47)</f>
        <v>0.25338314270268686</v>
      </c>
      <c r="L47" t="s">
        <v>164</v>
      </c>
    </row>
    <row r="48" spans="2:12" x14ac:dyDescent="0.25">
      <c r="B48" t="s">
        <v>133</v>
      </c>
      <c r="C48" t="s">
        <v>168</v>
      </c>
      <c r="J48" s="117">
        <v>1</v>
      </c>
      <c r="K48" s="120">
        <f>SUM(D48:J48)</f>
        <v>1</v>
      </c>
      <c r="L48" t="s">
        <v>169</v>
      </c>
    </row>
    <row r="49" spans="10:11" x14ac:dyDescent="0.25">
      <c r="J49" s="117"/>
      <c r="K49" s="120"/>
    </row>
    <row r="50" spans="10:11" x14ac:dyDescent="0.25">
      <c r="J50" s="117"/>
      <c r="K50" s="120"/>
    </row>
    <row r="51" spans="10:11" x14ac:dyDescent="0.25">
      <c r="J51" s="117"/>
      <c r="K51" s="120"/>
    </row>
    <row r="52" spans="10:11" x14ac:dyDescent="0.25">
      <c r="J52" s="117"/>
      <c r="K52" s="120"/>
    </row>
    <row r="53" spans="10:11" x14ac:dyDescent="0.25">
      <c r="J53" s="117"/>
      <c r="K53" s="120"/>
    </row>
    <row r="54" spans="10:11" x14ac:dyDescent="0.25">
      <c r="J54" s="117"/>
      <c r="K54" s="120"/>
    </row>
    <row r="55" spans="10:11" x14ac:dyDescent="0.25">
      <c r="J55" s="117"/>
      <c r="K55" s="120"/>
    </row>
    <row r="56" spans="10:11" x14ac:dyDescent="0.25">
      <c r="J56" s="117"/>
      <c r="K56" s="120"/>
    </row>
    <row r="57" spans="10:11" x14ac:dyDescent="0.25">
      <c r="J57" s="117"/>
      <c r="K57" s="120"/>
    </row>
    <row r="58" spans="10:11" x14ac:dyDescent="0.25">
      <c r="J58" s="117"/>
      <c r="K58" s="120"/>
    </row>
    <row r="59" spans="10:11" x14ac:dyDescent="0.25">
      <c r="J59" s="117"/>
      <c r="K59" s="120"/>
    </row>
    <row r="60" spans="10:11" x14ac:dyDescent="0.25">
      <c r="J60" s="117"/>
      <c r="K60" s="120"/>
    </row>
    <row r="61" spans="10:11" x14ac:dyDescent="0.25">
      <c r="J61" s="117"/>
      <c r="K61" s="120"/>
    </row>
    <row r="62" spans="10:11" x14ac:dyDescent="0.25">
      <c r="J62" s="117"/>
      <c r="K62" s="120"/>
    </row>
    <row r="63" spans="10:11" x14ac:dyDescent="0.25">
      <c r="J63" s="117"/>
      <c r="K63" s="120"/>
    </row>
    <row r="65" spans="2:5" ht="13" x14ac:dyDescent="0.3">
      <c r="C65" s="82" t="s">
        <v>147</v>
      </c>
      <c r="D65" s="83" t="s">
        <v>148</v>
      </c>
      <c r="E65" s="84" t="s">
        <v>149</v>
      </c>
    </row>
    <row r="66" spans="2:5" ht="13" x14ac:dyDescent="0.3">
      <c r="B66" s="12" t="s">
        <v>146</v>
      </c>
      <c r="C66" s="85" t="s">
        <v>150</v>
      </c>
      <c r="D66" s="85" t="s">
        <v>151</v>
      </c>
      <c r="E66" s="86" t="s">
        <v>149</v>
      </c>
    </row>
    <row r="67" spans="2:5" ht="13" x14ac:dyDescent="0.3">
      <c r="B67" s="29" t="s">
        <v>133</v>
      </c>
      <c r="C67" s="87">
        <v>1</v>
      </c>
      <c r="D67" s="88"/>
      <c r="E67" s="89"/>
    </row>
  </sheetData>
  <phoneticPr fontId="28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P16"/>
  <sheetViews>
    <sheetView zoomScaleNormal="100" workbookViewId="0">
      <selection activeCell="K2" sqref="K2:P3"/>
    </sheetView>
  </sheetViews>
  <sheetFormatPr defaultRowHeight="12.5" x14ac:dyDescent="0.25"/>
  <cols>
    <col min="1" max="1" width="1.90625" customWidth="1"/>
    <col min="2" max="2" width="7.6328125" customWidth="1"/>
    <col min="3" max="3" width="6.90625" customWidth="1"/>
    <col min="12" max="12" width="6.6328125" customWidth="1"/>
    <col min="14" max="14" width="5.453125" customWidth="1"/>
  </cols>
  <sheetData>
    <row r="2" spans="2:16" ht="18" x14ac:dyDescent="0.4">
      <c r="B2" s="50" t="s">
        <v>102</v>
      </c>
      <c r="K2" s="50" t="s">
        <v>122</v>
      </c>
    </row>
    <row r="3" spans="2:16" ht="18" x14ac:dyDescent="0.4">
      <c r="K3" s="50" t="s">
        <v>123</v>
      </c>
    </row>
    <row r="4" spans="2:16" ht="13" x14ac:dyDescent="0.3">
      <c r="B4" s="20" t="s">
        <v>120</v>
      </c>
    </row>
    <row r="14" spans="2:16" ht="18" x14ac:dyDescent="0.4">
      <c r="B14" s="50" t="s">
        <v>101</v>
      </c>
    </row>
    <row r="16" spans="2:16" ht="13" x14ac:dyDescent="0.3">
      <c r="D16" s="51" t="s">
        <v>119</v>
      </c>
      <c r="E16" s="51"/>
      <c r="F16" s="51"/>
      <c r="G16" s="51"/>
      <c r="H16" s="51"/>
      <c r="I16" s="51"/>
      <c r="J16" s="51"/>
      <c r="K16" s="51"/>
      <c r="L16" s="20"/>
      <c r="M16" s="20"/>
      <c r="N16" s="20"/>
      <c r="O16" s="20"/>
      <c r="P16" s="20"/>
    </row>
  </sheetData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D602B-9017-48E8-B4D5-63841A58EBF0}">
  <dimension ref="A1:W46"/>
  <sheetViews>
    <sheetView topLeftCell="A6" zoomScale="96" zoomScaleNormal="96" workbookViewId="0">
      <selection activeCell="N15" sqref="N15"/>
    </sheetView>
  </sheetViews>
  <sheetFormatPr defaultRowHeight="12.5" x14ac:dyDescent="0.25"/>
  <cols>
    <col min="1" max="1" width="2" bestFit="1" customWidth="1"/>
    <col min="2" max="2" width="19.36328125" bestFit="1" customWidth="1"/>
    <col min="3" max="3" width="12.36328125" customWidth="1"/>
    <col min="4" max="4" width="18.81640625" bestFit="1" customWidth="1"/>
    <col min="5" max="5" width="7.54296875" bestFit="1" customWidth="1"/>
    <col min="6" max="6" width="8.36328125" bestFit="1" customWidth="1"/>
    <col min="7" max="7" width="13.08984375" bestFit="1" customWidth="1"/>
    <col min="8" max="8" width="8.453125" bestFit="1" customWidth="1"/>
    <col min="9" max="9" width="13.6328125" bestFit="1" customWidth="1"/>
    <col min="10" max="10" width="13.6328125" customWidth="1"/>
    <col min="11" max="11" width="2" customWidth="1"/>
    <col min="12" max="12" width="11.6328125" bestFit="1" customWidth="1"/>
    <col min="13" max="13" width="7.08984375" customWidth="1"/>
    <col min="14" max="14" width="21.453125" bestFit="1" customWidth="1"/>
    <col min="15" max="15" width="36.90625" bestFit="1" customWidth="1"/>
    <col min="16" max="16" width="6.08984375" customWidth="1"/>
    <col min="17" max="17" width="11.54296875" customWidth="1"/>
    <col min="18" max="18" width="12.90625" bestFit="1" customWidth="1"/>
    <col min="19" max="19" width="13.36328125" bestFit="1" customWidth="1"/>
    <col min="20" max="20" width="19.453125" bestFit="1" customWidth="1"/>
  </cols>
  <sheetData>
    <row r="1" spans="2:20" ht="29" x14ac:dyDescent="0.35">
      <c r="B1" s="19" t="s">
        <v>75</v>
      </c>
      <c r="C1" s="19" t="s">
        <v>76</v>
      </c>
      <c r="D1" s="19" t="s">
        <v>77</v>
      </c>
      <c r="E1" s="19" t="s">
        <v>78</v>
      </c>
      <c r="F1" s="11"/>
      <c r="G1" s="19" t="s">
        <v>79</v>
      </c>
    </row>
    <row r="2" spans="2:20" ht="15.5" x14ac:dyDescent="0.35">
      <c r="B2" s="7"/>
      <c r="C2" s="7" t="str">
        <f>EBF!D2</f>
        <v>COA</v>
      </c>
      <c r="D2" s="7" t="str">
        <f>EBF!D3</f>
        <v>Coal</v>
      </c>
      <c r="E2" s="7" t="s">
        <v>165</v>
      </c>
      <c r="G2" s="7" t="str">
        <f>EBF!P2</f>
        <v>TH$2022</v>
      </c>
      <c r="L2" s="65" t="s">
        <v>14</v>
      </c>
      <c r="M2" s="65"/>
      <c r="N2" s="66"/>
      <c r="O2" s="66"/>
      <c r="P2" s="66"/>
      <c r="Q2" s="66"/>
      <c r="R2" s="66"/>
      <c r="S2" s="66"/>
      <c r="T2" s="66"/>
    </row>
    <row r="3" spans="2:20" ht="15.5" x14ac:dyDescent="0.35">
      <c r="C3" t="s">
        <v>45</v>
      </c>
      <c r="D3" t="s">
        <v>160</v>
      </c>
      <c r="E3" s="7" t="s">
        <v>165</v>
      </c>
      <c r="G3" s="7" t="str">
        <f>EBF!P2</f>
        <v>TH$2022</v>
      </c>
      <c r="L3" s="67" t="s">
        <v>7</v>
      </c>
      <c r="M3" s="68" t="s">
        <v>30</v>
      </c>
      <c r="N3" s="67" t="s">
        <v>0</v>
      </c>
      <c r="O3" s="67" t="s">
        <v>3</v>
      </c>
      <c r="P3" s="67" t="s">
        <v>4</v>
      </c>
      <c r="Q3" s="67" t="s">
        <v>8</v>
      </c>
      <c r="R3" s="67" t="s">
        <v>9</v>
      </c>
      <c r="S3" s="67" t="s">
        <v>10</v>
      </c>
      <c r="T3" s="67" t="s">
        <v>12</v>
      </c>
    </row>
    <row r="4" spans="2:20" ht="22" thickBot="1" x14ac:dyDescent="0.4">
      <c r="C4" s="161" t="s">
        <v>260</v>
      </c>
      <c r="D4" s="1" t="s">
        <v>258</v>
      </c>
      <c r="E4" s="81" t="s">
        <v>165</v>
      </c>
      <c r="G4" s="7" t="str">
        <f>EBF!P2</f>
        <v>TH$2022</v>
      </c>
      <c r="L4" s="69" t="s">
        <v>37</v>
      </c>
      <c r="M4" s="69" t="s">
        <v>31</v>
      </c>
      <c r="N4" s="69" t="s">
        <v>26</v>
      </c>
      <c r="O4" s="69" t="s">
        <v>27</v>
      </c>
      <c r="P4" s="69" t="s">
        <v>4</v>
      </c>
      <c r="Q4" s="69" t="s">
        <v>40</v>
      </c>
      <c r="R4" s="69" t="s">
        <v>41</v>
      </c>
      <c r="S4" s="69" t="s">
        <v>28</v>
      </c>
      <c r="T4" s="69" t="s">
        <v>29</v>
      </c>
    </row>
    <row r="5" spans="2:20" ht="15.5" x14ac:dyDescent="0.35">
      <c r="C5" s="162" t="s">
        <v>274</v>
      </c>
      <c r="D5" s="162" t="s">
        <v>142</v>
      </c>
      <c r="E5" s="81" t="s">
        <v>165</v>
      </c>
      <c r="F5" s="162"/>
      <c r="G5" s="7">
        <f>EBF!P3</f>
        <v>0</v>
      </c>
      <c r="L5" s="66" t="s">
        <v>74</v>
      </c>
      <c r="M5" s="70"/>
      <c r="N5" s="160" t="s">
        <v>283</v>
      </c>
      <c r="O5" s="66" t="s">
        <v>171</v>
      </c>
      <c r="P5" s="66" t="s">
        <v>165</v>
      </c>
      <c r="Q5" s="66"/>
      <c r="R5" s="66"/>
      <c r="S5" s="66"/>
      <c r="T5" s="66"/>
    </row>
    <row r="6" spans="2:20" ht="15.5" x14ac:dyDescent="0.35">
      <c r="C6" s="162" t="s">
        <v>139</v>
      </c>
      <c r="D6" s="162" t="s">
        <v>141</v>
      </c>
      <c r="E6" s="81" t="s">
        <v>165</v>
      </c>
      <c r="F6" s="162"/>
      <c r="G6" s="7">
        <f>EBF!P4</f>
        <v>0</v>
      </c>
      <c r="L6" s="66" t="s">
        <v>74</v>
      </c>
      <c r="M6" s="70"/>
      <c r="N6" s="160" t="s">
        <v>284</v>
      </c>
      <c r="O6" s="66" t="s">
        <v>172</v>
      </c>
      <c r="P6" s="66" t="s">
        <v>165</v>
      </c>
      <c r="Q6" s="66"/>
      <c r="R6" s="66"/>
      <c r="S6" s="66"/>
      <c r="T6" s="66"/>
    </row>
    <row r="7" spans="2:20" ht="15.5" x14ac:dyDescent="0.35">
      <c r="C7" s="162" t="s">
        <v>131</v>
      </c>
      <c r="D7" s="162" t="s">
        <v>124</v>
      </c>
      <c r="E7" s="81" t="s">
        <v>165</v>
      </c>
      <c r="F7" s="162"/>
      <c r="G7" s="7">
        <f>EBF!P5</f>
        <v>0</v>
      </c>
      <c r="L7" s="66" t="s">
        <v>74</v>
      </c>
      <c r="M7" s="70"/>
      <c r="N7" s="160" t="s">
        <v>285</v>
      </c>
      <c r="O7" s="66" t="s">
        <v>173</v>
      </c>
      <c r="P7" s="66" t="s">
        <v>165</v>
      </c>
      <c r="Q7" s="66"/>
      <c r="R7" s="66"/>
      <c r="S7" s="66"/>
      <c r="T7" s="66"/>
    </row>
    <row r="8" spans="2:20" ht="15.5" x14ac:dyDescent="0.35">
      <c r="C8" s="162" t="s">
        <v>275</v>
      </c>
      <c r="D8" s="162" t="s">
        <v>276</v>
      </c>
      <c r="E8" s="81" t="s">
        <v>165</v>
      </c>
      <c r="F8" s="162"/>
      <c r="G8" s="7">
        <f>EBF!P6</f>
        <v>0</v>
      </c>
      <c r="L8" s="160" t="s">
        <v>46</v>
      </c>
      <c r="M8" s="70"/>
      <c r="N8" s="160" t="s">
        <v>46</v>
      </c>
      <c r="O8" s="160" t="s">
        <v>471</v>
      </c>
      <c r="P8" s="66" t="s">
        <v>165</v>
      </c>
      <c r="Q8" s="66"/>
      <c r="R8" s="66"/>
      <c r="S8" s="66"/>
      <c r="T8" s="66"/>
    </row>
    <row r="9" spans="2:20" ht="15.5" x14ac:dyDescent="0.35">
      <c r="C9" s="162"/>
      <c r="D9" s="162"/>
      <c r="E9" s="81"/>
      <c r="F9" s="162"/>
      <c r="G9" s="7"/>
      <c r="L9" s="160" t="s">
        <v>74</v>
      </c>
      <c r="M9" s="70"/>
      <c r="N9" s="160" t="s">
        <v>271</v>
      </c>
      <c r="O9" s="160" t="s">
        <v>272</v>
      </c>
      <c r="P9" s="160" t="s">
        <v>165</v>
      </c>
      <c r="Q9" s="66"/>
      <c r="R9" s="66"/>
      <c r="S9" s="66"/>
      <c r="T9" s="66"/>
    </row>
    <row r="10" spans="2:20" s="162" customFormat="1" x14ac:dyDescent="0.25">
      <c r="L10" s="163" t="s">
        <v>74</v>
      </c>
      <c r="M10" s="163"/>
      <c r="N10" s="163" t="s">
        <v>286</v>
      </c>
      <c r="O10" s="163" t="s">
        <v>124</v>
      </c>
      <c r="P10" s="163" t="s">
        <v>165</v>
      </c>
      <c r="Q10" s="163"/>
      <c r="R10" s="163"/>
      <c r="S10" s="163"/>
      <c r="T10" s="163"/>
    </row>
    <row r="11" spans="2:20" s="162" customFormat="1" x14ac:dyDescent="0.25">
      <c r="L11" s="163" t="s">
        <v>74</v>
      </c>
      <c r="M11" s="163"/>
      <c r="N11" s="163" t="s">
        <v>287</v>
      </c>
      <c r="O11" s="163" t="s">
        <v>273</v>
      </c>
      <c r="P11" s="163" t="s">
        <v>165</v>
      </c>
      <c r="Q11" s="163"/>
      <c r="R11" s="163"/>
      <c r="S11" s="163"/>
      <c r="T11" s="163"/>
    </row>
    <row r="12" spans="2:20" x14ac:dyDescent="0.25">
      <c r="L12" s="66" t="s">
        <v>82</v>
      </c>
      <c r="M12" s="70"/>
      <c r="N12" s="66" t="s">
        <v>175</v>
      </c>
      <c r="O12" s="66" t="s">
        <v>251</v>
      </c>
      <c r="P12" s="66" t="s">
        <v>165</v>
      </c>
      <c r="Q12" s="66"/>
      <c r="R12" s="66"/>
      <c r="S12" s="66"/>
      <c r="T12" s="66"/>
    </row>
    <row r="13" spans="2:20" x14ac:dyDescent="0.25">
      <c r="L13" s="66" t="s">
        <v>82</v>
      </c>
      <c r="M13" s="70"/>
      <c r="N13" s="160" t="s">
        <v>170</v>
      </c>
      <c r="O13" s="160" t="s">
        <v>470</v>
      </c>
      <c r="P13" s="66" t="s">
        <v>165</v>
      </c>
      <c r="Q13" s="66"/>
      <c r="R13" s="66"/>
      <c r="S13" s="66"/>
      <c r="T13" s="66"/>
    </row>
    <row r="14" spans="2:20" x14ac:dyDescent="0.25">
      <c r="L14" s="160" t="s">
        <v>82</v>
      </c>
      <c r="M14" s="70"/>
      <c r="N14" s="160" t="s">
        <v>295</v>
      </c>
      <c r="O14" s="160" t="s">
        <v>293</v>
      </c>
      <c r="P14" s="160" t="s">
        <v>294</v>
      </c>
      <c r="Q14" s="66"/>
      <c r="R14" s="66"/>
      <c r="S14" s="66"/>
      <c r="T14" s="66"/>
    </row>
    <row r="15" spans="2:20" x14ac:dyDescent="0.25">
      <c r="L15" s="160"/>
      <c r="M15" s="70"/>
      <c r="N15" s="160"/>
      <c r="O15" s="160"/>
      <c r="P15" s="160"/>
      <c r="Q15" s="66"/>
      <c r="R15" s="66"/>
      <c r="S15" s="66"/>
      <c r="T15" s="66"/>
    </row>
    <row r="16" spans="2:20" x14ac:dyDescent="0.25">
      <c r="L16" s="160"/>
      <c r="M16" s="70"/>
      <c r="N16" s="160"/>
      <c r="O16" s="160"/>
      <c r="P16" s="160"/>
      <c r="Q16" s="66"/>
      <c r="R16" s="66"/>
      <c r="S16" s="66"/>
      <c r="T16" s="66"/>
    </row>
    <row r="17" spans="2:20" x14ac:dyDescent="0.25">
      <c r="L17" s="179" t="s">
        <v>74</v>
      </c>
      <c r="M17" s="179"/>
      <c r="N17" s="179" t="s">
        <v>267</v>
      </c>
      <c r="O17" s="179" t="s">
        <v>269</v>
      </c>
      <c r="P17" s="179" t="s">
        <v>165</v>
      </c>
      <c r="Q17" s="66"/>
      <c r="R17" s="66"/>
      <c r="S17" s="66"/>
      <c r="T17" s="66"/>
    </row>
    <row r="18" spans="2:20" x14ac:dyDescent="0.25">
      <c r="L18" s="179" t="s">
        <v>74</v>
      </c>
      <c r="M18" s="179"/>
      <c r="N18" s="179" t="s">
        <v>268</v>
      </c>
      <c r="O18" s="179" t="s">
        <v>270</v>
      </c>
      <c r="P18" s="179" t="s">
        <v>165</v>
      </c>
      <c r="Q18" s="66"/>
      <c r="R18" s="66"/>
      <c r="S18" s="66"/>
      <c r="T18" s="66"/>
    </row>
    <row r="19" spans="2:20" x14ac:dyDescent="0.25">
      <c r="L19" s="160"/>
      <c r="M19" s="70"/>
      <c r="N19" s="160"/>
      <c r="O19" s="160"/>
      <c r="P19" s="160"/>
      <c r="Q19" s="66"/>
      <c r="R19" s="66"/>
      <c r="S19" s="66"/>
      <c r="T19" s="66"/>
    </row>
    <row r="20" spans="2:20" x14ac:dyDescent="0.25">
      <c r="L20" s="1"/>
      <c r="N20" s="1"/>
      <c r="O20" s="1"/>
      <c r="P20" s="1"/>
      <c r="Q20" s="1"/>
      <c r="R20" s="1"/>
      <c r="S20" s="1"/>
      <c r="T20" s="1"/>
    </row>
    <row r="21" spans="2:20" ht="13" x14ac:dyDescent="0.3">
      <c r="F21" s="3" t="s">
        <v>13</v>
      </c>
      <c r="H21" s="3"/>
      <c r="L21" s="65" t="s">
        <v>15</v>
      </c>
      <c r="M21" s="65"/>
      <c r="N21" s="70"/>
      <c r="O21" s="70"/>
      <c r="P21" s="70"/>
      <c r="Q21" s="70"/>
      <c r="R21" s="70"/>
      <c r="S21" s="70"/>
      <c r="T21" s="70"/>
    </row>
    <row r="22" spans="2:20" ht="13" x14ac:dyDescent="0.3">
      <c r="B22" s="2" t="s">
        <v>1</v>
      </c>
      <c r="C22" s="10" t="s">
        <v>5</v>
      </c>
      <c r="D22" s="2" t="s">
        <v>6</v>
      </c>
      <c r="E22" s="2" t="s">
        <v>97</v>
      </c>
      <c r="F22" s="2" t="s">
        <v>8</v>
      </c>
      <c r="G22" s="64" t="s">
        <v>34</v>
      </c>
      <c r="H22" s="64" t="s">
        <v>35</v>
      </c>
      <c r="I22" s="64" t="s">
        <v>80</v>
      </c>
      <c r="J22" s="78" t="s">
        <v>166</v>
      </c>
      <c r="L22" s="67" t="s">
        <v>11</v>
      </c>
      <c r="M22" s="68" t="s">
        <v>30</v>
      </c>
      <c r="N22" s="67" t="s">
        <v>1</v>
      </c>
      <c r="O22" s="67" t="s">
        <v>2</v>
      </c>
      <c r="P22" s="67" t="s">
        <v>16</v>
      </c>
      <c r="Q22" s="67" t="s">
        <v>17</v>
      </c>
      <c r="R22" s="67" t="s">
        <v>18</v>
      </c>
      <c r="S22" s="67" t="s">
        <v>19</v>
      </c>
      <c r="T22" s="67" t="s">
        <v>20</v>
      </c>
    </row>
    <row r="23" spans="2:20" ht="21" thickBot="1" x14ac:dyDescent="0.3">
      <c r="B23" s="9" t="s">
        <v>39</v>
      </c>
      <c r="C23" s="9" t="s">
        <v>32</v>
      </c>
      <c r="D23" s="9" t="s">
        <v>33</v>
      </c>
      <c r="E23" s="9"/>
      <c r="F23" s="9"/>
      <c r="G23" s="9" t="s">
        <v>36</v>
      </c>
      <c r="H23" s="9" t="s">
        <v>89</v>
      </c>
      <c r="I23" s="9" t="s">
        <v>88</v>
      </c>
      <c r="J23" s="79" t="s">
        <v>167</v>
      </c>
      <c r="L23" s="69" t="s">
        <v>38</v>
      </c>
      <c r="M23" s="69" t="s">
        <v>31</v>
      </c>
      <c r="N23" s="69" t="s">
        <v>21</v>
      </c>
      <c r="O23" s="69" t="s">
        <v>22</v>
      </c>
      <c r="P23" s="69" t="s">
        <v>23</v>
      </c>
      <c r="Q23" s="69" t="s">
        <v>24</v>
      </c>
      <c r="R23" s="69" t="s">
        <v>43</v>
      </c>
      <c r="S23" s="69" t="s">
        <v>42</v>
      </c>
      <c r="T23" s="69" t="s">
        <v>25</v>
      </c>
    </row>
    <row r="24" spans="2:20" ht="21" thickBot="1" x14ac:dyDescent="0.3">
      <c r="B24" s="9" t="s">
        <v>87</v>
      </c>
      <c r="C24" s="8"/>
      <c r="D24" s="8"/>
      <c r="E24" s="8"/>
      <c r="F24" s="8"/>
      <c r="G24" s="8" t="str">
        <f>$E$2</f>
        <v>GWh</v>
      </c>
      <c r="H24" s="8" t="s">
        <v>240</v>
      </c>
      <c r="I24" s="8" t="str">
        <f>$E$2</f>
        <v>GWh</v>
      </c>
      <c r="J24" s="80"/>
      <c r="L24" s="69" t="s">
        <v>81</v>
      </c>
      <c r="M24" s="71"/>
      <c r="N24" s="71"/>
      <c r="O24" s="71"/>
      <c r="P24" s="71"/>
      <c r="Q24" s="71"/>
      <c r="R24" s="71"/>
      <c r="S24" s="71"/>
      <c r="T24" s="71"/>
    </row>
    <row r="25" spans="2:20" x14ac:dyDescent="0.25">
      <c r="B25" s="66" t="str">
        <f>N25</f>
        <v>MINCOA</v>
      </c>
      <c r="C25" s="1"/>
      <c r="D25" s="66" t="str">
        <f>N5</f>
        <v>MANCOALMIN</v>
      </c>
      <c r="E25" s="1">
        <v>2022</v>
      </c>
      <c r="F25" s="1" t="s">
        <v>103</v>
      </c>
      <c r="G25" s="48">
        <v>2673000</v>
      </c>
      <c r="H25" s="49">
        <v>4.5449999999999999</v>
      </c>
      <c r="I25" s="91">
        <f>EBF!D5</f>
        <v>4518.4003614720004</v>
      </c>
      <c r="J25" s="121">
        <v>8.76</v>
      </c>
      <c r="L25" s="66" t="str">
        <f>EBF!$B$5</f>
        <v>MIN</v>
      </c>
      <c r="M25" s="70"/>
      <c r="N25" s="70" t="str">
        <f>$L$25&amp;$C$2</f>
        <v>MINCOA</v>
      </c>
      <c r="O25" s="72" t="str">
        <f>"Domestic Supply of "&amp;$D$2&amp;" "</f>
        <v xml:space="preserve">Domestic Supply of Coal </v>
      </c>
      <c r="P25" s="70" t="s">
        <v>165</v>
      </c>
      <c r="Q25" s="70"/>
      <c r="R25" s="70"/>
      <c r="S25" s="70"/>
      <c r="T25" s="70"/>
    </row>
    <row r="26" spans="2:20" x14ac:dyDescent="0.25">
      <c r="B26" s="66" t="str">
        <f t="shared" ref="B26:B27" si="0">N26</f>
        <v>IMPCOA</v>
      </c>
      <c r="C26" s="1"/>
      <c r="D26" s="66" t="str">
        <f>N6</f>
        <v>MANCOALIMP</v>
      </c>
      <c r="E26" s="1">
        <v>2022</v>
      </c>
      <c r="F26" s="1" t="s">
        <v>103</v>
      </c>
      <c r="G26" s="62"/>
      <c r="H26" s="63">
        <v>21.004999999999999</v>
      </c>
      <c r="I26" s="92">
        <f>EBF!D6</f>
        <v>3157.6616415018002</v>
      </c>
      <c r="J26" s="121">
        <v>8.76</v>
      </c>
      <c r="L26" s="70" t="str">
        <f>EBF!$B$6</f>
        <v>IMP</v>
      </c>
      <c r="M26" s="70"/>
      <c r="N26" s="70" t="str">
        <f>$L$26&amp;$C$2</f>
        <v>IMPCOA</v>
      </c>
      <c r="O26" s="72" t="str">
        <f>"Import of "&amp;$D$2&amp;" "</f>
        <v xml:space="preserve">Import of Coal </v>
      </c>
      <c r="P26" s="70" t="s">
        <v>165</v>
      </c>
      <c r="Q26" s="70"/>
      <c r="R26" s="70"/>
      <c r="S26" s="70"/>
      <c r="T26" s="70"/>
    </row>
    <row r="27" spans="2:20" x14ac:dyDescent="0.25">
      <c r="B27" s="66" t="str">
        <f t="shared" si="0"/>
        <v>IMPOIL</v>
      </c>
      <c r="C27" s="1"/>
      <c r="D27" s="66" t="str">
        <f>N7</f>
        <v>MANOILIMP</v>
      </c>
      <c r="E27" s="1">
        <v>2022</v>
      </c>
      <c r="F27" s="1" t="s">
        <v>103</v>
      </c>
      <c r="H27" s="49">
        <v>29.234999999999999</v>
      </c>
      <c r="I27" s="92">
        <f>EBF!E18</f>
        <v>2605.1202084096003</v>
      </c>
      <c r="J27" s="121">
        <v>8.76</v>
      </c>
      <c r="L27" t="str">
        <f>EBF!B6</f>
        <v>IMP</v>
      </c>
      <c r="N27" s="70" t="str">
        <f>$L$27&amp;$C$3</f>
        <v>IMPOIL</v>
      </c>
      <c r="O27" s="72" t="str">
        <f>"Import of "&amp;$D$3&amp;" "</f>
        <v xml:space="preserve">Import of Oil </v>
      </c>
      <c r="P27" t="s">
        <v>165</v>
      </c>
    </row>
    <row r="28" spans="2:20" x14ac:dyDescent="0.25">
      <c r="B28" s="66" t="str">
        <f>N33</f>
        <v>GRIDELC</v>
      </c>
      <c r="C28" s="70"/>
      <c r="D28" s="160" t="str">
        <f>N$8</f>
        <v>ELC</v>
      </c>
      <c r="E28" s="1">
        <v>2022</v>
      </c>
      <c r="F28" s="1" t="s">
        <v>103</v>
      </c>
      <c r="H28" s="49">
        <v>100</v>
      </c>
      <c r="I28" s="92">
        <f>EBF!J18</f>
        <v>2861.5612011470998</v>
      </c>
      <c r="J28" s="121">
        <v>8.76</v>
      </c>
      <c r="L28" s="162" t="s">
        <v>50</v>
      </c>
      <c r="M28" s="162"/>
      <c r="N28" s="163" t="str">
        <f>$L$28&amp;$C$7</f>
        <v>MINBIO</v>
      </c>
      <c r="O28" s="164" t="str">
        <f>"Domestic Supply of "&amp;$D$7&amp;" "</f>
        <v xml:space="preserve">Domestic Supply of Biomass </v>
      </c>
      <c r="P28" s="162" t="s">
        <v>165</v>
      </c>
    </row>
    <row r="29" spans="2:20" x14ac:dyDescent="0.25">
      <c r="B29" s="175" t="str">
        <f>N30</f>
        <v>WNDTRBN</v>
      </c>
      <c r="C29" s="175"/>
      <c r="D29" s="160" t="str">
        <f t="shared" ref="D29:D30" si="1">N$8</f>
        <v>ELC</v>
      </c>
      <c r="E29" s="174">
        <v>2030</v>
      </c>
      <c r="F29" s="162"/>
      <c r="G29" s="162"/>
      <c r="H29" s="172"/>
      <c r="I29" s="92"/>
      <c r="J29" s="173"/>
      <c r="L29" s="162" t="s">
        <v>50</v>
      </c>
      <c r="M29" s="162"/>
      <c r="N29" s="163" t="str">
        <f>$L$29&amp;$C$8</f>
        <v>MINGAS</v>
      </c>
      <c r="O29" s="164" t="str">
        <f>"Domestic Supply of "&amp;$D$8&amp;" "</f>
        <v xml:space="preserve">Domestic Supply of Ngas </v>
      </c>
      <c r="P29" s="162" t="s">
        <v>165</v>
      </c>
    </row>
    <row r="30" spans="2:20" x14ac:dyDescent="0.25">
      <c r="B30" s="175" t="str">
        <f>N31</f>
        <v>SOLPV</v>
      </c>
      <c r="C30" s="175"/>
      <c r="D30" s="160" t="str">
        <f t="shared" si="1"/>
        <v>ELC</v>
      </c>
      <c r="E30" s="174">
        <v>2030</v>
      </c>
      <c r="F30" s="162"/>
      <c r="G30" s="162"/>
      <c r="H30" s="172"/>
      <c r="I30" s="92"/>
      <c r="J30" s="173"/>
      <c r="L30" s="174" t="s">
        <v>46</v>
      </c>
      <c r="M30" s="174"/>
      <c r="N30" s="175" t="s">
        <v>288</v>
      </c>
      <c r="O30" s="177" t="s">
        <v>289</v>
      </c>
      <c r="P30" s="174" t="s">
        <v>165</v>
      </c>
    </row>
    <row r="31" spans="2:20" x14ac:dyDescent="0.25">
      <c r="B31" s="175" t="str">
        <f>N32</f>
        <v>CSP</v>
      </c>
      <c r="C31" s="175"/>
      <c r="D31" s="175" t="str">
        <f>N12</f>
        <v>MANHEAT</v>
      </c>
      <c r="E31" s="174">
        <v>2030</v>
      </c>
      <c r="F31" s="162"/>
      <c r="G31" s="162"/>
      <c r="H31" s="172"/>
      <c r="I31" s="92"/>
      <c r="J31" s="173"/>
      <c r="L31" s="174" t="s">
        <v>46</v>
      </c>
      <c r="M31" s="174"/>
      <c r="N31" s="175" t="s">
        <v>290</v>
      </c>
      <c r="O31" s="177" t="s">
        <v>291</v>
      </c>
      <c r="P31" s="174" t="s">
        <v>165</v>
      </c>
    </row>
    <row r="32" spans="2:20" x14ac:dyDescent="0.25">
      <c r="B32" s="175" t="str">
        <f>N28</f>
        <v>MINBIO</v>
      </c>
      <c r="C32" s="175"/>
      <c r="D32" s="175" t="str">
        <f>N10</f>
        <v>MANBIOMIN</v>
      </c>
      <c r="E32" s="174">
        <v>2030</v>
      </c>
      <c r="F32" s="162"/>
      <c r="G32" s="162"/>
      <c r="H32" s="172"/>
      <c r="I32" s="92"/>
      <c r="J32" s="173"/>
      <c r="L32" s="161" t="s">
        <v>50</v>
      </c>
      <c r="N32" s="175" t="s">
        <v>277</v>
      </c>
      <c r="O32" s="177" t="s">
        <v>292</v>
      </c>
      <c r="P32" s="174" t="s">
        <v>165</v>
      </c>
    </row>
    <row r="33" spans="1:23" x14ac:dyDescent="0.25">
      <c r="B33" s="175" t="str">
        <f>N29</f>
        <v>MINGAS</v>
      </c>
      <c r="C33" s="175"/>
      <c r="D33" s="175" t="str">
        <f>N11</f>
        <v>MANGASMIN</v>
      </c>
      <c r="E33" s="174">
        <v>2030</v>
      </c>
      <c r="F33" s="162"/>
      <c r="G33" s="162"/>
      <c r="H33" s="172"/>
      <c r="I33" s="92"/>
      <c r="J33" s="173"/>
      <c r="L33" s="161" t="s">
        <v>46</v>
      </c>
      <c r="N33" s="160" t="s">
        <v>257</v>
      </c>
      <c r="O33" s="176" t="s">
        <v>261</v>
      </c>
      <c r="P33" s="174" t="s">
        <v>165</v>
      </c>
    </row>
    <row r="34" spans="1:23" x14ac:dyDescent="0.25">
      <c r="B34" s="163"/>
      <c r="C34" s="163"/>
      <c r="D34" s="163"/>
      <c r="E34" s="162"/>
      <c r="F34" s="162"/>
      <c r="G34" s="162"/>
      <c r="H34" s="172"/>
      <c r="I34" s="92"/>
      <c r="J34" s="173"/>
      <c r="N34" s="70"/>
      <c r="O34" s="72"/>
    </row>
    <row r="35" spans="1:23" x14ac:dyDescent="0.25">
      <c r="B35" s="66"/>
      <c r="C35" s="70"/>
      <c r="D35" s="160"/>
      <c r="E35" s="1"/>
      <c r="F35" s="1"/>
      <c r="H35" s="49"/>
      <c r="I35" s="92"/>
      <c r="J35" s="121"/>
      <c r="N35" s="70"/>
      <c r="O35" s="72"/>
    </row>
    <row r="36" spans="1:23" x14ac:dyDescent="0.25">
      <c r="B36" s="66"/>
      <c r="C36" s="70"/>
      <c r="D36" s="160"/>
      <c r="E36" s="1"/>
      <c r="F36" s="1"/>
      <c r="H36" s="49"/>
      <c r="I36" s="92"/>
      <c r="J36" s="121"/>
      <c r="N36" s="70"/>
      <c r="O36" s="72"/>
    </row>
    <row r="37" spans="1:23" x14ac:dyDescent="0.25">
      <c r="B37" s="66"/>
      <c r="C37" s="70"/>
      <c r="D37" s="160"/>
      <c r="E37" s="1"/>
      <c r="F37" s="1"/>
      <c r="H37" s="49"/>
      <c r="I37" s="92"/>
      <c r="J37" s="121"/>
      <c r="N37" s="70"/>
      <c r="O37" s="72"/>
    </row>
    <row r="38" spans="1:23" x14ac:dyDescent="0.25">
      <c r="B38" s="66"/>
      <c r="C38" s="70"/>
      <c r="D38" s="160"/>
      <c r="E38" s="1"/>
      <c r="F38" s="1"/>
      <c r="H38" s="49"/>
      <c r="I38" s="92"/>
      <c r="J38" s="121"/>
      <c r="N38" s="70"/>
      <c r="O38" s="72"/>
    </row>
    <row r="39" spans="1:23" x14ac:dyDescent="0.25">
      <c r="B39" s="66"/>
      <c r="D39" s="66"/>
      <c r="E39" s="1"/>
      <c r="F39" s="1"/>
      <c r="H39" s="49"/>
      <c r="I39" s="92"/>
      <c r="J39" s="121"/>
      <c r="N39" s="70"/>
      <c r="O39" s="72"/>
    </row>
    <row r="41" spans="1:23" x14ac:dyDescent="0.25">
      <c r="B41" s="48"/>
      <c r="C41" s="1" t="s">
        <v>99</v>
      </c>
      <c r="S41" s="179"/>
      <c r="T41" s="179"/>
      <c r="U41" s="179"/>
      <c r="V41" s="179"/>
      <c r="W41" s="179"/>
    </row>
    <row r="42" spans="1:23" x14ac:dyDescent="0.25">
      <c r="B42" s="47"/>
      <c r="C42" s="1" t="s">
        <v>100</v>
      </c>
      <c r="S42" s="179"/>
      <c r="T42" s="179"/>
      <c r="U42" s="179"/>
      <c r="V42" s="179"/>
      <c r="W42" s="179"/>
    </row>
    <row r="44" spans="1:23" s="1" customFormat="1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</row>
    <row r="45" spans="1:23" x14ac:dyDescent="0.25">
      <c r="U45" s="1"/>
    </row>
    <row r="46" spans="1:23" x14ac:dyDescent="0.25">
      <c r="A46" s="1"/>
    </row>
  </sheetData>
  <hyperlinks>
    <hyperlink ref="N14" r:id="rId1" display="MANCO@" xr:uid="{8E657C0C-D64D-4E9E-8900-30086685D7FC}"/>
  </hyperlinks>
  <pageMargins left="0.75" right="0.75" top="1" bottom="1" header="0.5" footer="0.5"/>
  <pageSetup orientation="portrait" horizontalDpi="4294967292" r:id="rId2"/>
  <headerFooter alignWithMargins="0"/>
  <drawing r:id="rId3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E4F-5A92-46AB-9A10-74ADD64337C0}">
  <dimension ref="B1:V38"/>
  <sheetViews>
    <sheetView tabSelected="1" topLeftCell="A4" zoomScale="118" zoomScaleNormal="118" workbookViewId="0">
      <selection activeCell="B22" sqref="B22"/>
    </sheetView>
  </sheetViews>
  <sheetFormatPr defaultColWidth="8.90625" defaultRowHeight="12.5" x14ac:dyDescent="0.25"/>
  <cols>
    <col min="1" max="1" width="3" style="93" customWidth="1"/>
    <col min="2" max="2" width="12.08984375" style="93" bestFit="1" customWidth="1"/>
    <col min="3" max="3" width="25.1796875" style="93" bestFit="1" customWidth="1"/>
    <col min="4" max="4" width="13.90625" style="93" bestFit="1" customWidth="1"/>
    <col min="5" max="5" width="20" style="93" bestFit="1" customWidth="1"/>
    <col min="6" max="6" width="13.08984375" style="93" bestFit="1" customWidth="1"/>
    <col min="7" max="7" width="9.54296875" style="93" bestFit="1" customWidth="1"/>
    <col min="8" max="8" width="7.90625" style="93" bestFit="1" customWidth="1"/>
    <col min="9" max="9" width="8.08984375" style="93" customWidth="1"/>
    <col min="10" max="10" width="9.54296875" style="93" bestFit="1" customWidth="1"/>
    <col min="11" max="13" width="8.08984375" style="93" customWidth="1"/>
    <col min="14" max="14" width="12.6328125" style="93" bestFit="1" customWidth="1"/>
    <col min="15" max="15" width="7.08984375" style="93" customWidth="1"/>
    <col min="16" max="16" width="11.453125" style="93" bestFit="1" customWidth="1"/>
    <col min="17" max="17" width="63.90625" style="93" bestFit="1" customWidth="1"/>
    <col min="18" max="18" width="8.1796875" style="93" bestFit="1" customWidth="1"/>
    <col min="19" max="19" width="11.6328125" style="93" customWidth="1"/>
    <col min="20" max="20" width="13.453125" style="93" customWidth="1"/>
    <col min="21" max="21" width="13.90625" style="93" customWidth="1"/>
    <col min="22" max="22" width="8.453125" style="93" customWidth="1"/>
    <col min="23" max="16384" width="8.90625" style="93"/>
  </cols>
  <sheetData>
    <row r="1" spans="2:22" ht="14.5" x14ac:dyDescent="0.35">
      <c r="B1" s="6" t="s">
        <v>75</v>
      </c>
      <c r="C1" s="6" t="s">
        <v>77</v>
      </c>
      <c r="D1" s="6" t="s">
        <v>104</v>
      </c>
      <c r="E1" s="6" t="s">
        <v>78</v>
      </c>
      <c r="F1" s="6" t="s">
        <v>79</v>
      </c>
      <c r="G1" s="6"/>
      <c r="H1" s="6" t="s">
        <v>105</v>
      </c>
    </row>
    <row r="2" spans="2:22" ht="31" x14ac:dyDescent="0.35">
      <c r="B2" s="7" t="str">
        <f>EBF!B18</f>
        <v>MAN</v>
      </c>
      <c r="C2" s="7" t="str">
        <f>EBF!C18</f>
        <v>Manufacturing</v>
      </c>
      <c r="D2" s="52" t="str">
        <f>"Demand Technologies"</f>
        <v>Demand Technologies</v>
      </c>
      <c r="E2" s="7" t="str">
        <f>EBF!Q2</f>
        <v>GWh</v>
      </c>
      <c r="F2" s="7" t="str">
        <f>EBF!P2</f>
        <v>TH$2022</v>
      </c>
      <c r="G2" s="7"/>
      <c r="H2" s="7" t="s">
        <v>106</v>
      </c>
      <c r="N2" s="94" t="s">
        <v>14</v>
      </c>
      <c r="O2" s="94"/>
      <c r="P2" s="95"/>
      <c r="Q2" s="95"/>
      <c r="R2" s="95"/>
      <c r="S2" s="95"/>
      <c r="T2" s="95"/>
      <c r="U2" s="95"/>
      <c r="V2" s="95"/>
    </row>
    <row r="3" spans="2:22" ht="13" x14ac:dyDescent="0.3">
      <c r="N3" s="96" t="s">
        <v>7</v>
      </c>
      <c r="O3" s="97" t="s">
        <v>30</v>
      </c>
      <c r="P3" s="96" t="s">
        <v>0</v>
      </c>
      <c r="Q3" s="96" t="s">
        <v>3</v>
      </c>
      <c r="R3" s="96" t="s">
        <v>4</v>
      </c>
      <c r="S3" s="96" t="s">
        <v>8</v>
      </c>
      <c r="T3" s="96" t="s">
        <v>9</v>
      </c>
      <c r="U3" s="96" t="s">
        <v>10</v>
      </c>
      <c r="V3" s="96" t="s">
        <v>12</v>
      </c>
    </row>
    <row r="4" spans="2:22" ht="22" thickBot="1" x14ac:dyDescent="0.4">
      <c r="B4" s="53"/>
      <c r="C4" s="53"/>
      <c r="D4" s="53"/>
      <c r="E4" s="53"/>
      <c r="F4" s="53"/>
      <c r="G4" s="53"/>
      <c r="N4" s="98" t="s">
        <v>37</v>
      </c>
      <c r="O4" s="98" t="s">
        <v>31</v>
      </c>
      <c r="P4" s="98" t="s">
        <v>26</v>
      </c>
      <c r="Q4" s="98" t="s">
        <v>27</v>
      </c>
      <c r="R4" s="98" t="s">
        <v>4</v>
      </c>
      <c r="S4" s="98" t="s">
        <v>40</v>
      </c>
      <c r="T4" s="98" t="s">
        <v>41</v>
      </c>
      <c r="U4" s="98" t="s">
        <v>28</v>
      </c>
      <c r="V4" s="98" t="s">
        <v>29</v>
      </c>
    </row>
    <row r="5" spans="2:22" ht="15.5" x14ac:dyDescent="0.35">
      <c r="B5" s="53"/>
      <c r="C5" s="53"/>
      <c r="D5" s="53"/>
      <c r="E5" s="53"/>
      <c r="F5" s="53"/>
      <c r="G5" s="53"/>
      <c r="N5" s="178"/>
      <c r="O5" s="178"/>
      <c r="P5" s="178"/>
      <c r="Q5" s="178"/>
      <c r="R5" s="178"/>
      <c r="S5" s="178"/>
      <c r="T5" s="178"/>
      <c r="U5" s="178"/>
      <c r="V5" s="178"/>
    </row>
    <row r="6" spans="2:22" ht="15.5" x14ac:dyDescent="0.35">
      <c r="B6" s="53"/>
      <c r="C6" s="53"/>
      <c r="D6" s="53"/>
      <c r="E6" s="53"/>
      <c r="F6" s="53"/>
      <c r="G6" s="53"/>
      <c r="N6" s="95" t="s">
        <v>82</v>
      </c>
      <c r="O6" s="95"/>
      <c r="P6" s="95" t="s">
        <v>175</v>
      </c>
      <c r="Q6" s="95" t="s">
        <v>176</v>
      </c>
      <c r="R6" s="95" t="s">
        <v>165</v>
      </c>
      <c r="S6" s="95" t="s">
        <v>177</v>
      </c>
      <c r="T6" s="95"/>
      <c r="U6" s="95"/>
      <c r="V6" s="95"/>
    </row>
    <row r="7" spans="2:22" ht="15.5" x14ac:dyDescent="0.35">
      <c r="B7" s="53"/>
      <c r="C7" s="53"/>
      <c r="D7" s="53"/>
      <c r="E7" s="53"/>
      <c r="F7" s="53"/>
      <c r="G7" s="53"/>
      <c r="N7" s="95" t="s">
        <v>82</v>
      </c>
      <c r="O7" s="95"/>
      <c r="P7" s="95" t="s">
        <v>170</v>
      </c>
      <c r="Q7" s="95" t="s">
        <v>262</v>
      </c>
      <c r="R7" s="95" t="s">
        <v>165</v>
      </c>
      <c r="S7" s="95" t="s">
        <v>177</v>
      </c>
      <c r="T7" s="95"/>
      <c r="U7" s="95"/>
      <c r="V7" s="95"/>
    </row>
    <row r="8" spans="2:22" ht="15.5" x14ac:dyDescent="0.35">
      <c r="B8" s="53"/>
      <c r="C8" s="53"/>
      <c r="D8" s="53"/>
      <c r="E8" s="53"/>
      <c r="F8" s="53"/>
      <c r="G8" s="53"/>
      <c r="N8" s="171" t="s">
        <v>82</v>
      </c>
      <c r="O8" s="95"/>
      <c r="P8" s="171" t="s">
        <v>281</v>
      </c>
      <c r="Q8" s="171" t="s">
        <v>282</v>
      </c>
      <c r="R8" s="95" t="s">
        <v>165</v>
      </c>
      <c r="S8" s="95" t="s">
        <v>177</v>
      </c>
      <c r="T8" s="95"/>
      <c r="U8" s="95"/>
      <c r="V8" s="95"/>
    </row>
    <row r="9" spans="2:22" x14ac:dyDescent="0.25">
      <c r="N9" s="95" t="s">
        <v>153</v>
      </c>
      <c r="O9" s="95"/>
      <c r="P9" s="95" t="str">
        <f>$B$2&amp;EBF!C65</f>
        <v>MANCO2</v>
      </c>
      <c r="Q9" s="95" t="str">
        <f>$C$2&amp;" "&amp;EBF!C65</f>
        <v>Manufacturing CO2</v>
      </c>
      <c r="R9" s="95" t="str">
        <f>EBF!R2</f>
        <v>kt</v>
      </c>
      <c r="S9" s="95"/>
      <c r="T9" s="95"/>
      <c r="U9" s="95"/>
      <c r="V9" s="95"/>
    </row>
    <row r="10" spans="2:22" x14ac:dyDescent="0.25">
      <c r="N10" s="95"/>
      <c r="O10" s="95"/>
      <c r="P10" s="95"/>
      <c r="Q10" s="95"/>
      <c r="R10" s="95"/>
      <c r="S10" s="95"/>
      <c r="T10" s="95"/>
      <c r="U10" s="95"/>
      <c r="V10" s="95"/>
    </row>
    <row r="11" spans="2:22" x14ac:dyDescent="0.25">
      <c r="N11" s="95" t="s">
        <v>82</v>
      </c>
      <c r="O11" s="95"/>
      <c r="P11" s="95" t="s">
        <v>245</v>
      </c>
      <c r="Q11" s="95" t="s">
        <v>247</v>
      </c>
      <c r="R11" s="95" t="s">
        <v>165</v>
      </c>
      <c r="S11" s="95" t="s">
        <v>177</v>
      </c>
      <c r="T11" s="95"/>
      <c r="U11" s="95"/>
      <c r="V11" s="95"/>
    </row>
    <row r="12" spans="2:22" x14ac:dyDescent="0.25">
      <c r="N12" s="95" t="s">
        <v>82</v>
      </c>
      <c r="O12" s="95"/>
      <c r="P12" s="95" t="s">
        <v>244</v>
      </c>
      <c r="Q12" s="95" t="s">
        <v>246</v>
      </c>
      <c r="R12" s="95" t="s">
        <v>165</v>
      </c>
      <c r="S12" s="95" t="s">
        <v>177</v>
      </c>
      <c r="T12" s="95"/>
      <c r="U12" s="95"/>
      <c r="V12" s="95"/>
    </row>
    <row r="14" spans="2:22" ht="13" x14ac:dyDescent="0.3">
      <c r="D14" s="3" t="s">
        <v>13</v>
      </c>
      <c r="E14" s="3"/>
      <c r="F14" s="3"/>
      <c r="H14" s="3"/>
      <c r="I14" s="99"/>
      <c r="J14" s="99"/>
      <c r="K14" s="99"/>
      <c r="L14" s="99"/>
      <c r="M14" s="99"/>
      <c r="N14" s="94" t="s">
        <v>15</v>
      </c>
      <c r="O14" s="94"/>
      <c r="P14" s="95"/>
      <c r="Q14" s="95"/>
      <c r="R14" s="95"/>
      <c r="S14" s="95"/>
      <c r="T14" s="95"/>
      <c r="U14" s="95"/>
      <c r="V14" s="95"/>
    </row>
    <row r="15" spans="2:22" ht="24" customHeight="1" x14ac:dyDescent="0.3">
      <c r="B15" s="54" t="s">
        <v>1</v>
      </c>
      <c r="C15" s="54" t="s">
        <v>5</v>
      </c>
      <c r="D15" s="54" t="s">
        <v>6</v>
      </c>
      <c r="E15" s="100" t="s">
        <v>107</v>
      </c>
      <c r="F15" s="101" t="s">
        <v>154</v>
      </c>
      <c r="G15" s="100" t="s">
        <v>108</v>
      </c>
      <c r="H15" s="100" t="s">
        <v>109</v>
      </c>
      <c r="I15" s="100" t="s">
        <v>110</v>
      </c>
      <c r="J15" s="100" t="s">
        <v>178</v>
      </c>
      <c r="K15" s="102" t="s">
        <v>179</v>
      </c>
      <c r="L15" s="102"/>
      <c r="M15" s="102"/>
      <c r="N15" s="96" t="s">
        <v>11</v>
      </c>
      <c r="O15" s="97" t="s">
        <v>30</v>
      </c>
      <c r="P15" s="96" t="s">
        <v>1</v>
      </c>
      <c r="Q15" s="96" t="s">
        <v>2</v>
      </c>
      <c r="R15" s="96" t="s">
        <v>16</v>
      </c>
      <c r="S15" s="96" t="s">
        <v>17</v>
      </c>
      <c r="T15" s="96" t="s">
        <v>18</v>
      </c>
      <c r="U15" s="96" t="s">
        <v>19</v>
      </c>
      <c r="V15" s="96" t="s">
        <v>20</v>
      </c>
    </row>
    <row r="16" spans="2:22" ht="21" thickBot="1" x14ac:dyDescent="0.3">
      <c r="B16" s="103" t="s">
        <v>39</v>
      </c>
      <c r="C16" s="103" t="s">
        <v>32</v>
      </c>
      <c r="D16" s="103" t="s">
        <v>33</v>
      </c>
      <c r="E16" s="103" t="s">
        <v>111</v>
      </c>
      <c r="F16" s="103" t="s">
        <v>155</v>
      </c>
      <c r="G16" s="103" t="s">
        <v>112</v>
      </c>
      <c r="H16" s="104" t="s">
        <v>113</v>
      </c>
      <c r="I16" s="103" t="s">
        <v>121</v>
      </c>
      <c r="J16" s="103" t="s">
        <v>180</v>
      </c>
      <c r="K16" s="104" t="s">
        <v>181</v>
      </c>
      <c r="L16" s="105"/>
      <c r="M16" s="105"/>
      <c r="N16" s="98" t="s">
        <v>38</v>
      </c>
      <c r="O16" s="98" t="s">
        <v>31</v>
      </c>
      <c r="P16" s="98" t="s">
        <v>21</v>
      </c>
      <c r="Q16" s="98" t="s">
        <v>22</v>
      </c>
      <c r="R16" s="98" t="s">
        <v>23</v>
      </c>
      <c r="S16" s="98" t="s">
        <v>24</v>
      </c>
      <c r="T16" s="98" t="s">
        <v>43</v>
      </c>
      <c r="U16" s="98" t="s">
        <v>42</v>
      </c>
      <c r="V16" s="98" t="s">
        <v>25</v>
      </c>
    </row>
    <row r="17" spans="2:22" ht="13" thickBot="1" x14ac:dyDescent="0.3">
      <c r="B17" s="106" t="s">
        <v>87</v>
      </c>
      <c r="C17" s="106"/>
      <c r="D17" s="106"/>
      <c r="E17" s="107" t="s">
        <v>252</v>
      </c>
      <c r="F17" s="107"/>
      <c r="G17" s="107"/>
      <c r="H17" s="108"/>
      <c r="I17" s="107" t="s">
        <v>114</v>
      </c>
      <c r="J17" s="107"/>
      <c r="K17" s="108"/>
      <c r="L17" s="109"/>
      <c r="M17" s="109"/>
      <c r="N17" s="98" t="s">
        <v>81</v>
      </c>
      <c r="O17" s="98"/>
      <c r="P17" s="98"/>
      <c r="Q17" s="98"/>
      <c r="R17" s="98"/>
      <c r="S17" s="98"/>
      <c r="T17" s="98"/>
      <c r="U17" s="98"/>
      <c r="V17" s="98"/>
    </row>
    <row r="18" spans="2:22" x14ac:dyDescent="0.25">
      <c r="B18" s="93" t="str">
        <f>P$18</f>
        <v>Kiln</v>
      </c>
      <c r="C18" s="93" t="str">
        <f>PRI_Sector_Fuels!N5</f>
        <v>MANCOALMIN</v>
      </c>
      <c r="D18" s="95" t="str">
        <f>PRI_Sector_Fuels!N$12</f>
        <v>MANHEAT</v>
      </c>
      <c r="E18" s="113">
        <f>EBF!D5/(DemTechs_INDF!G18*DemTechs_INDF!F37)*1000</f>
        <v>937.81659640348698</v>
      </c>
      <c r="F18" s="110">
        <v>0.44</v>
      </c>
      <c r="G18" s="111">
        <v>0.55000000000000004</v>
      </c>
      <c r="H18" s="111">
        <v>0.9</v>
      </c>
      <c r="I18" s="136">
        <v>30</v>
      </c>
      <c r="J18" s="112">
        <v>144094</v>
      </c>
      <c r="K18" s="112"/>
      <c r="L18" s="112"/>
      <c r="M18" s="112"/>
      <c r="N18" s="93" t="s">
        <v>115</v>
      </c>
      <c r="P18" s="93" t="s">
        <v>156</v>
      </c>
      <c r="Q18" s="93" t="s">
        <v>253</v>
      </c>
      <c r="R18" s="95" t="str">
        <f>$E$2</f>
        <v>GWh</v>
      </c>
      <c r="S18" s="95" t="s">
        <v>157</v>
      </c>
      <c r="T18" s="95"/>
      <c r="U18" s="95"/>
      <c r="V18" s="95"/>
    </row>
    <row r="19" spans="2:22" x14ac:dyDescent="0.25">
      <c r="B19" s="93" t="str">
        <f>P$18</f>
        <v>Kiln</v>
      </c>
      <c r="C19" s="93" t="str">
        <f>PRI_Sector_Fuels!N6</f>
        <v>MANCOALIMP</v>
      </c>
      <c r="D19" s="95" t="str">
        <f>PRI_Sector_Fuels!N$12</f>
        <v>MANHEAT</v>
      </c>
      <c r="E19" s="113">
        <f>EBF!D6/(DemTechs_INDF!G19*DemTechs_INDF!F37)*1000</f>
        <v>655.38846855579084</v>
      </c>
      <c r="F19" s="110">
        <v>0.31</v>
      </c>
      <c r="G19" s="111">
        <v>0.55000000000000004</v>
      </c>
      <c r="H19" s="111">
        <v>0.9</v>
      </c>
      <c r="I19" s="136">
        <v>30</v>
      </c>
      <c r="J19" s="112">
        <v>144094</v>
      </c>
      <c r="K19" s="112"/>
      <c r="L19" s="112"/>
      <c r="M19" s="112"/>
      <c r="N19" s="93" t="s">
        <v>115</v>
      </c>
      <c r="P19" s="93" t="s">
        <v>158</v>
      </c>
      <c r="Q19" s="93" t="s">
        <v>159</v>
      </c>
      <c r="R19" s="95" t="str">
        <f>$E$2</f>
        <v>GWh</v>
      </c>
      <c r="S19" s="95" t="s">
        <v>157</v>
      </c>
      <c r="T19" s="95"/>
      <c r="U19" s="95"/>
      <c r="V19" s="95"/>
    </row>
    <row r="20" spans="2:22" ht="13" x14ac:dyDescent="0.3">
      <c r="B20" s="93" t="str">
        <f>P$19</f>
        <v>Boiler</v>
      </c>
      <c r="C20" s="93" t="str">
        <f>PRI_Sector_Fuels!N7</f>
        <v>MANOILIMP</v>
      </c>
      <c r="D20" s="95" t="str">
        <f>PRI_Sector_Fuels!N$12</f>
        <v>MANHEAT</v>
      </c>
      <c r="E20" s="113">
        <f>EBF!E18/(DemTechs_INDF!G20*DemTechs_INDF!F37)*1000</f>
        <v>396.51753552657539</v>
      </c>
      <c r="F20" s="110">
        <v>0.25</v>
      </c>
      <c r="G20" s="111">
        <v>0.75</v>
      </c>
      <c r="H20" s="113">
        <v>0.9</v>
      </c>
      <c r="I20" s="112">
        <v>30</v>
      </c>
      <c r="J20" s="112">
        <v>60000</v>
      </c>
      <c r="K20" s="112"/>
      <c r="L20" s="112"/>
      <c r="N20" s="93" t="s">
        <v>115</v>
      </c>
      <c r="P20" s="170" t="s">
        <v>170</v>
      </c>
      <c r="Q20" s="93" t="s">
        <v>259</v>
      </c>
      <c r="R20" s="93" t="s">
        <v>165</v>
      </c>
      <c r="S20" s="93" t="s">
        <v>157</v>
      </c>
      <c r="T20" s="159" t="s">
        <v>266</v>
      </c>
    </row>
    <row r="21" spans="2:22" s="165" customFormat="1" x14ac:dyDescent="0.25">
      <c r="B21" s="99" t="str">
        <f>P28</f>
        <v>CSP</v>
      </c>
      <c r="C21" s="99" t="str">
        <f>PRI_Sector_Fuels!N9</f>
        <v>SOLTHT</v>
      </c>
      <c r="D21" s="95" t="str">
        <f>PRI_Sector_Fuels!N$12</f>
        <v>MANHEAT</v>
      </c>
      <c r="E21" s="167">
        <f>EBF!K18/(DemTechs_INDF!G21*DemTechs_INDF!F37)*1000</f>
        <v>1500.3320739839382</v>
      </c>
      <c r="F21" s="168">
        <v>1</v>
      </c>
      <c r="G21" s="165">
        <v>1</v>
      </c>
      <c r="H21" s="165">
        <v>1</v>
      </c>
      <c r="I21" s="165">
        <v>50</v>
      </c>
      <c r="J21" s="165">
        <v>0</v>
      </c>
      <c r="N21" s="165" t="s">
        <v>115</v>
      </c>
      <c r="P21" s="165" t="s">
        <v>279</v>
      </c>
      <c r="Q21" s="165" t="s">
        <v>280</v>
      </c>
      <c r="R21" s="99" t="s">
        <v>165</v>
      </c>
      <c r="S21" s="99" t="s">
        <v>157</v>
      </c>
    </row>
    <row r="22" spans="2:22" s="165" customFormat="1" x14ac:dyDescent="0.25">
      <c r="B22" s="99" t="str">
        <f>P20</f>
        <v>MANELC</v>
      </c>
      <c r="C22" s="99" t="str">
        <f>PRI_Sector_Fuels!N8</f>
        <v>ELC</v>
      </c>
      <c r="D22" s="95" t="str">
        <f>PRI_Sector_Fuels!N$13</f>
        <v>MANELC</v>
      </c>
      <c r="E22" s="167">
        <v>0</v>
      </c>
      <c r="F22" s="168">
        <v>1</v>
      </c>
      <c r="G22" s="165">
        <v>1</v>
      </c>
      <c r="H22" s="165">
        <v>1</v>
      </c>
      <c r="I22" s="165">
        <v>50</v>
      </c>
      <c r="J22" s="165">
        <v>0</v>
      </c>
    </row>
    <row r="23" spans="2:22" s="165" customFormat="1" x14ac:dyDescent="0.25">
      <c r="B23" s="99" t="str">
        <f>P18</f>
        <v>Kiln</v>
      </c>
      <c r="C23" s="99" t="str">
        <f>PRI_Sector_Fuels!N$10</f>
        <v>MANBIOMIN</v>
      </c>
      <c r="D23" s="95" t="str">
        <f>PRI_Sector_Fuels!N$12</f>
        <v>MANHEAT</v>
      </c>
      <c r="E23" s="167">
        <v>0</v>
      </c>
      <c r="F23" s="168">
        <v>1</v>
      </c>
      <c r="G23" s="165">
        <v>1</v>
      </c>
      <c r="H23" s="165">
        <v>1</v>
      </c>
      <c r="I23" s="165">
        <v>50</v>
      </c>
      <c r="J23" s="165">
        <v>0</v>
      </c>
    </row>
    <row r="24" spans="2:22" s="165" customFormat="1" x14ac:dyDescent="0.25">
      <c r="B24" s="99" t="str">
        <f>P19</f>
        <v>Boiler</v>
      </c>
      <c r="C24" s="99" t="str">
        <f>PRI_Sector_Fuels!N$10</f>
        <v>MANBIOMIN</v>
      </c>
      <c r="D24" s="95" t="str">
        <f>PRI_Sector_Fuels!N$12</f>
        <v>MANHEAT</v>
      </c>
      <c r="E24" s="167">
        <v>0</v>
      </c>
      <c r="F24" s="168">
        <v>1</v>
      </c>
      <c r="G24" s="165">
        <v>1</v>
      </c>
      <c r="H24" s="165">
        <v>1</v>
      </c>
      <c r="I24" s="165">
        <v>50</v>
      </c>
      <c r="J24" s="165">
        <v>0</v>
      </c>
    </row>
    <row r="25" spans="2:22" s="165" customFormat="1" x14ac:dyDescent="0.25">
      <c r="B25" s="99" t="str">
        <f>P21</f>
        <v>Furnace</v>
      </c>
      <c r="C25" s="166" t="str">
        <f>PRI_Sector_Fuels!N8</f>
        <v>ELC</v>
      </c>
      <c r="D25" s="95" t="str">
        <f>PRI_Sector_Fuels!N$12</f>
        <v>MANHEAT</v>
      </c>
      <c r="E25" s="167">
        <v>0</v>
      </c>
      <c r="F25" s="168">
        <v>1</v>
      </c>
      <c r="G25" s="165">
        <v>1</v>
      </c>
      <c r="H25" s="165">
        <v>1</v>
      </c>
      <c r="I25" s="165">
        <v>50</v>
      </c>
      <c r="J25" s="165">
        <v>0</v>
      </c>
    </row>
    <row r="26" spans="2:22" s="118" customFormat="1" x14ac:dyDescent="0.25">
      <c r="B26" s="170" t="s">
        <v>158</v>
      </c>
      <c r="C26" s="95" t="str">
        <f>PRI_Sector_Fuels!N8</f>
        <v>ELC</v>
      </c>
      <c r="D26" s="95" t="str">
        <f>PRI_Sector_Fuels!N$12</f>
        <v>MANHEAT</v>
      </c>
      <c r="E26" s="167">
        <v>0</v>
      </c>
      <c r="F26" s="168">
        <v>1</v>
      </c>
      <c r="G26" s="165">
        <v>1</v>
      </c>
      <c r="H26" s="165">
        <v>1</v>
      </c>
      <c r="I26" s="165">
        <v>50</v>
      </c>
      <c r="J26" s="165">
        <v>0</v>
      </c>
    </row>
    <row r="27" spans="2:22" x14ac:dyDescent="0.25">
      <c r="B27" s="170" t="s">
        <v>158</v>
      </c>
      <c r="C27" s="95" t="str">
        <f>PRI_Sector_Fuels!N11</f>
        <v>MANGASMIN</v>
      </c>
      <c r="D27" s="95" t="str">
        <f>PRI_Sector_Fuels!N$12</f>
        <v>MANHEAT</v>
      </c>
      <c r="E27" s="167">
        <v>0</v>
      </c>
      <c r="F27" s="168">
        <v>1</v>
      </c>
      <c r="G27" s="165">
        <v>1</v>
      </c>
      <c r="H27" s="165">
        <v>1</v>
      </c>
      <c r="I27" s="165">
        <v>50</v>
      </c>
      <c r="J27" s="165">
        <v>0</v>
      </c>
    </row>
    <row r="28" spans="2:22" ht="13" x14ac:dyDescent="0.3">
      <c r="B28" s="170"/>
      <c r="C28" s="95"/>
      <c r="D28" s="166"/>
      <c r="E28" s="167"/>
      <c r="F28" s="168"/>
      <c r="G28" s="165"/>
      <c r="H28" s="165"/>
      <c r="I28" s="165"/>
      <c r="J28" s="165"/>
      <c r="N28" s="165" t="s">
        <v>115</v>
      </c>
      <c r="O28" s="165"/>
      <c r="P28" s="165" t="s">
        <v>277</v>
      </c>
      <c r="Q28" s="165" t="s">
        <v>278</v>
      </c>
      <c r="R28" s="99" t="s">
        <v>165</v>
      </c>
      <c r="S28" s="99" t="s">
        <v>157</v>
      </c>
      <c r="T28" s="169" t="s">
        <v>266</v>
      </c>
    </row>
    <row r="29" spans="2:22" ht="13" x14ac:dyDescent="0.3">
      <c r="F29" s="114"/>
      <c r="N29" s="93" t="s">
        <v>115</v>
      </c>
      <c r="P29" s="93" t="s">
        <v>46</v>
      </c>
      <c r="Q29" s="93" t="s">
        <v>259</v>
      </c>
      <c r="R29" s="95" t="str">
        <f t="shared" ref="R29" si="0">$E$2</f>
        <v>GWh</v>
      </c>
      <c r="S29" s="95" t="s">
        <v>157</v>
      </c>
      <c r="T29" s="159" t="s">
        <v>266</v>
      </c>
    </row>
    <row r="30" spans="2:22" x14ac:dyDescent="0.25">
      <c r="F30" s="114"/>
      <c r="N30" s="93" t="s">
        <v>115</v>
      </c>
      <c r="O30" s="118"/>
      <c r="P30" s="93" t="s">
        <v>248</v>
      </c>
      <c r="Q30" s="118" t="s">
        <v>249</v>
      </c>
      <c r="R30" s="119" t="s">
        <v>165</v>
      </c>
      <c r="S30" s="119" t="s">
        <v>157</v>
      </c>
    </row>
    <row r="31" spans="2:22" x14ac:dyDescent="0.25">
      <c r="F31" s="114"/>
      <c r="G31" s="21"/>
      <c r="H31" s="115"/>
      <c r="N31" s="93" t="s">
        <v>115</v>
      </c>
      <c r="P31" s="93" t="s">
        <v>85</v>
      </c>
      <c r="Q31" s="93" t="s">
        <v>250</v>
      </c>
    </row>
    <row r="32" spans="2:22" x14ac:dyDescent="0.25">
      <c r="H32" s="115"/>
    </row>
    <row r="33" spans="2:8" x14ac:dyDescent="0.25">
      <c r="B33" s="112"/>
      <c r="C33" s="93" t="s">
        <v>99</v>
      </c>
      <c r="H33" s="115"/>
    </row>
    <row r="34" spans="2:8" x14ac:dyDescent="0.25">
      <c r="B34" s="116"/>
      <c r="C34" s="93" t="s">
        <v>100</v>
      </c>
      <c r="H34" s="115"/>
    </row>
    <row r="35" spans="2:8" x14ac:dyDescent="0.25">
      <c r="E35" s="93" t="s">
        <v>241</v>
      </c>
      <c r="F35" s="93" t="s">
        <v>243</v>
      </c>
      <c r="H35" s="115"/>
    </row>
    <row r="37" spans="2:8" x14ac:dyDescent="0.25">
      <c r="E37" s="93" t="s">
        <v>242</v>
      </c>
      <c r="F37" s="93">
        <f>24*365</f>
        <v>8760</v>
      </c>
    </row>
    <row r="38" spans="2:8" x14ac:dyDescent="0.25">
      <c r="E38" s="21"/>
    </row>
  </sheetData>
  <pageMargins left="0.7" right="0.7" top="0.75" bottom="0.75" header="0.3" footer="0.3"/>
  <pageSetup paperSize="9" orientation="portrait" r:id="rId1"/>
  <ignoredErrors>
    <ignoredError sqref="D22" formula="1"/>
  </ignoredErrors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C1942-68EF-4347-B180-1E2F29F43F6F}">
  <dimension ref="B1:R59"/>
  <sheetViews>
    <sheetView topLeftCell="A6" zoomScale="226" zoomScaleNormal="226" workbookViewId="0">
      <selection activeCell="C13" sqref="C13"/>
    </sheetView>
  </sheetViews>
  <sheetFormatPr defaultRowHeight="12.5" x14ac:dyDescent="0.25"/>
  <cols>
    <col min="1" max="1" width="3.6328125" customWidth="1"/>
    <col min="2" max="2" width="11.90625" bestFit="1" customWidth="1"/>
    <col min="3" max="3" width="25.1796875" bestFit="1" customWidth="1"/>
    <col min="4" max="4" width="14.1796875" bestFit="1" customWidth="1"/>
    <col min="13" max="13" width="10.54296875" bestFit="1" customWidth="1"/>
    <col min="16" max="16" width="12.453125" bestFit="1" customWidth="1"/>
    <col min="17" max="17" width="10.1796875" bestFit="1" customWidth="1"/>
  </cols>
  <sheetData>
    <row r="1" spans="2:18" ht="14.5" x14ac:dyDescent="0.35">
      <c r="B1" s="6" t="s">
        <v>75</v>
      </c>
      <c r="C1" s="6" t="s">
        <v>76</v>
      </c>
      <c r="D1" s="6" t="s">
        <v>77</v>
      </c>
      <c r="E1" s="6" t="s">
        <v>78</v>
      </c>
      <c r="F1" s="6" t="s">
        <v>79</v>
      </c>
    </row>
    <row r="2" spans="2:18" ht="15.5" x14ac:dyDescent="0.35">
      <c r="B2" s="7" t="s">
        <v>82</v>
      </c>
      <c r="C2" s="7"/>
      <c r="D2" s="7"/>
      <c r="E2" s="7" t="str">
        <f>EBF!Q2</f>
        <v>GWh</v>
      </c>
      <c r="F2" s="7" t="str">
        <f>EBF!P2</f>
        <v>TH$2022</v>
      </c>
    </row>
    <row r="3" spans="2:18" x14ac:dyDescent="0.25">
      <c r="K3" s="154"/>
    </row>
    <row r="5" spans="2:18" ht="13" x14ac:dyDescent="0.3">
      <c r="C5" s="123" t="s">
        <v>13</v>
      </c>
      <c r="D5" s="123"/>
      <c r="E5" s="1"/>
    </row>
    <row r="6" spans="2:18" ht="13" x14ac:dyDescent="0.3">
      <c r="B6" s="122" t="s">
        <v>182</v>
      </c>
      <c r="C6" s="122" t="s">
        <v>0</v>
      </c>
      <c r="D6" s="122" t="s">
        <v>183</v>
      </c>
      <c r="E6" s="122">
        <v>2022</v>
      </c>
      <c r="F6" s="122">
        <v>2025</v>
      </c>
      <c r="G6" s="122">
        <v>2030</v>
      </c>
      <c r="H6" s="122">
        <v>2035</v>
      </c>
      <c r="I6" s="122">
        <v>2040</v>
      </c>
      <c r="J6" s="122">
        <v>2045</v>
      </c>
      <c r="K6" s="122">
        <v>2050</v>
      </c>
      <c r="L6" s="152"/>
      <c r="M6" s="155"/>
      <c r="N6" s="129"/>
      <c r="Q6" s="123" t="s">
        <v>13</v>
      </c>
      <c r="R6" s="1"/>
    </row>
    <row r="7" spans="2:18" ht="30.5" x14ac:dyDescent="0.25">
      <c r="B7" s="125" t="s">
        <v>81</v>
      </c>
      <c r="C7" s="125" t="s">
        <v>184</v>
      </c>
      <c r="D7" s="125" t="s">
        <v>185</v>
      </c>
      <c r="E7" s="125" t="s">
        <v>186</v>
      </c>
      <c r="F7" s="125" t="s">
        <v>186</v>
      </c>
      <c r="G7" s="125" t="s">
        <v>186</v>
      </c>
      <c r="H7" s="125" t="s">
        <v>186</v>
      </c>
      <c r="I7" s="125" t="s">
        <v>186</v>
      </c>
      <c r="J7" s="125" t="s">
        <v>186</v>
      </c>
      <c r="K7" s="125" t="s">
        <v>186</v>
      </c>
      <c r="L7" s="153"/>
      <c r="M7" s="155" t="s">
        <v>265</v>
      </c>
      <c r="N7" s="130"/>
      <c r="O7" s="122" t="s">
        <v>182</v>
      </c>
      <c r="P7" s="122" t="s">
        <v>0</v>
      </c>
      <c r="Q7" s="122" t="s">
        <v>188</v>
      </c>
      <c r="R7" s="122">
        <v>2022</v>
      </c>
    </row>
    <row r="8" spans="2:18" ht="21" thickBot="1" x14ac:dyDescent="0.3">
      <c r="B8" s="124" t="s">
        <v>87</v>
      </c>
      <c r="C8" s="124"/>
      <c r="D8" s="124"/>
      <c r="E8" s="124" t="s">
        <v>165</v>
      </c>
      <c r="F8" s="124" t="s">
        <v>165</v>
      </c>
      <c r="G8" s="124" t="s">
        <v>165</v>
      </c>
      <c r="H8" s="124" t="s">
        <v>165</v>
      </c>
      <c r="I8" s="124" t="s">
        <v>165</v>
      </c>
      <c r="J8" s="124" t="s">
        <v>165</v>
      </c>
      <c r="K8" s="124" t="s">
        <v>165</v>
      </c>
      <c r="L8" s="153"/>
      <c r="M8" s="155"/>
      <c r="N8" s="130"/>
      <c r="O8" s="132" t="s">
        <v>81</v>
      </c>
      <c r="P8" s="132" t="s">
        <v>184</v>
      </c>
      <c r="Q8" s="132"/>
      <c r="R8" s="132"/>
    </row>
    <row r="9" spans="2:18" ht="13" thickBot="1" x14ac:dyDescent="0.3">
      <c r="B9" s="126" t="s">
        <v>187</v>
      </c>
      <c r="C9" s="126" t="str">
        <f>DemTechs_INDF!P6</f>
        <v>MANHEAT</v>
      </c>
      <c r="D9" s="126" t="str">
        <f>E$2</f>
        <v>GWh</v>
      </c>
      <c r="E9" s="128">
        <f>EBF!D18+EBF!E18</f>
        <v>10281.3477669522</v>
      </c>
      <c r="F9" s="128">
        <f>$E$9*(1+$M$9)^(F6-$E$6)</f>
        <v>14405.897122659175</v>
      </c>
      <c r="G9" s="128">
        <f t="shared" ref="G9:K9" si="0">$E$9*(1+$M$9)^(G6-$E$6)</f>
        <v>25274.975404905261</v>
      </c>
      <c r="H9" s="128">
        <f t="shared" si="0"/>
        <v>44344.644160602315</v>
      </c>
      <c r="I9" s="128">
        <f t="shared" si="0"/>
        <v>77802.151504717243</v>
      </c>
      <c r="J9" s="128">
        <f t="shared" si="0"/>
        <v>136502.95076988969</v>
      </c>
      <c r="K9" s="128">
        <f t="shared" si="0"/>
        <v>239492.80589955384</v>
      </c>
      <c r="M9" s="157">
        <v>0.11899999999999999</v>
      </c>
      <c r="O9" s="9" t="s">
        <v>87</v>
      </c>
      <c r="P9" s="9"/>
      <c r="Q9" s="9"/>
      <c r="R9" s="9"/>
    </row>
    <row r="10" spans="2:18" ht="13" thickBot="1" x14ac:dyDescent="0.3">
      <c r="B10" s="126" t="s">
        <v>187</v>
      </c>
      <c r="C10" s="146" t="s">
        <v>46</v>
      </c>
      <c r="D10" s="126" t="str">
        <f>E$2</f>
        <v>GWh</v>
      </c>
      <c r="E10" s="128">
        <f>EBF!J18</f>
        <v>2861.5612011470998</v>
      </c>
      <c r="F10" s="128">
        <f>$E$10*(1+$M$10)^(F6-$E$6)</f>
        <v>3350.6176459935423</v>
      </c>
      <c r="G10" s="128">
        <f t="shared" ref="G10:K10" si="1">$E$10*(1+$M$10)^(G6-$E$6)</f>
        <v>4358.4084284728824</v>
      </c>
      <c r="H10" s="128">
        <f t="shared" si="1"/>
        <v>5669.320118366044</v>
      </c>
      <c r="I10" s="128">
        <f t="shared" si="1"/>
        <v>7374.5246990933629</v>
      </c>
      <c r="J10" s="128">
        <f t="shared" si="1"/>
        <v>9592.6166457525742</v>
      </c>
      <c r="K10" s="128">
        <f t="shared" si="1"/>
        <v>12477.860996747662</v>
      </c>
      <c r="M10" s="158">
        <v>5.3999999999999999E-2</v>
      </c>
      <c r="O10" s="1" t="s">
        <v>189</v>
      </c>
      <c r="P10" s="1" t="str">
        <f>DemTechs_INDF!P$7</f>
        <v>MANELC</v>
      </c>
      <c r="Q10" s="93" t="s">
        <v>190</v>
      </c>
      <c r="R10" s="133">
        <v>0.75</v>
      </c>
    </row>
    <row r="11" spans="2:18" ht="13" thickBot="1" x14ac:dyDescent="0.3">
      <c r="B11" s="126"/>
      <c r="C11" s="126"/>
      <c r="D11" s="126"/>
      <c r="E11" s="128"/>
      <c r="F11" s="128"/>
      <c r="K11" s="5">
        <f>K9+K10</f>
        <v>251970.6668963015</v>
      </c>
      <c r="M11" s="156"/>
      <c r="O11" s="1" t="s">
        <v>189</v>
      </c>
      <c r="P11" s="1" t="str">
        <f>DemTechs_INDF!P$7</f>
        <v>MANELC</v>
      </c>
      <c r="Q11" s="93" t="s">
        <v>191</v>
      </c>
      <c r="R11" s="133">
        <v>0.25</v>
      </c>
    </row>
    <row r="12" spans="2:18" x14ac:dyDescent="0.25">
      <c r="B12" s="126"/>
      <c r="C12" s="126"/>
      <c r="D12" s="146" t="s">
        <v>263</v>
      </c>
      <c r="E12" s="145">
        <f>E10/(E$9+E$10)</f>
        <v>0.21772662415091906</v>
      </c>
      <c r="F12" s="145">
        <f>F10/(F$9+F$10)</f>
        <v>0.18869793366819429</v>
      </c>
      <c r="G12" s="145">
        <f t="shared" ref="G12:K12" si="2">G10/(G$9+G$10)</f>
        <v>0.14707764907913431</v>
      </c>
      <c r="H12" s="145">
        <f t="shared" si="2"/>
        <v>0.11335474402196269</v>
      </c>
      <c r="I12" s="145">
        <f t="shared" si="2"/>
        <v>8.6579155559529136E-2</v>
      </c>
      <c r="J12" s="145">
        <f t="shared" si="2"/>
        <v>6.5659874665886034E-2</v>
      </c>
      <c r="K12" s="145">
        <f t="shared" si="2"/>
        <v>4.9521085729724738E-2</v>
      </c>
      <c r="M12" s="156"/>
      <c r="N12" s="5"/>
      <c r="O12" s="1" t="s">
        <v>189</v>
      </c>
      <c r="P12" s="1" t="str">
        <f>DemTechs_INDF!P$7</f>
        <v>MANELC</v>
      </c>
      <c r="Q12" s="93" t="s">
        <v>192</v>
      </c>
      <c r="R12" s="133">
        <v>1.0416666666666666E-2</v>
      </c>
    </row>
    <row r="13" spans="2:18" x14ac:dyDescent="0.25">
      <c r="B13" s="1"/>
      <c r="D13" t="s">
        <v>264</v>
      </c>
      <c r="E13" s="145">
        <f>E9/(E$9+E$10)</f>
        <v>0.78227337584908085</v>
      </c>
      <c r="F13" s="145">
        <f>F9/(F$9+F$10)</f>
        <v>0.81130206633180579</v>
      </c>
      <c r="G13" s="145">
        <f t="shared" ref="G13:K13" si="3">G9/(G$9+G$10)</f>
        <v>0.85292235092086577</v>
      </c>
      <c r="H13" s="145">
        <f t="shared" si="3"/>
        <v>0.88664525597803734</v>
      </c>
      <c r="I13" s="145">
        <f t="shared" si="3"/>
        <v>0.91342084444047078</v>
      </c>
      <c r="J13" s="145">
        <f t="shared" si="3"/>
        <v>0.93434012533411404</v>
      </c>
      <c r="K13" s="145">
        <f t="shared" si="3"/>
        <v>0.95047891427027531</v>
      </c>
      <c r="M13" s="156"/>
      <c r="O13" s="1" t="s">
        <v>189</v>
      </c>
      <c r="P13" s="1" t="str">
        <f>DemTechs_INDF!P$7</f>
        <v>MANELC</v>
      </c>
      <c r="Q13" s="134" t="s">
        <v>193</v>
      </c>
      <c r="R13" s="135">
        <v>1.0416666666666666E-2</v>
      </c>
    </row>
    <row r="14" spans="2:18" x14ac:dyDescent="0.25">
      <c r="O14" s="1" t="s">
        <v>189</v>
      </c>
      <c r="P14" s="1" t="str">
        <f>DemTechs_INDF!P$7</f>
        <v>MANELC</v>
      </c>
      <c r="Q14" t="s">
        <v>194</v>
      </c>
      <c r="R14" s="133">
        <v>1.0416666666666666E-2</v>
      </c>
    </row>
    <row r="15" spans="2:18" x14ac:dyDescent="0.25">
      <c r="O15" s="1" t="s">
        <v>189</v>
      </c>
      <c r="P15" s="1" t="str">
        <f>DemTechs_INDF!P$7</f>
        <v>MANELC</v>
      </c>
      <c r="Q15" t="s">
        <v>195</v>
      </c>
      <c r="R15" s="133">
        <v>1.0416666666666666E-2</v>
      </c>
    </row>
    <row r="16" spans="2:18" x14ac:dyDescent="0.25">
      <c r="E16" s="5"/>
      <c r="O16" s="1" t="s">
        <v>189</v>
      </c>
      <c r="P16" s="1" t="str">
        <f>DemTechs_INDF!P$7</f>
        <v>MANELC</v>
      </c>
      <c r="Q16" t="s">
        <v>196</v>
      </c>
      <c r="R16" s="133">
        <v>1.0416666666666666E-2</v>
      </c>
    </row>
    <row r="17" spans="2:18" x14ac:dyDescent="0.25">
      <c r="O17" s="1" t="s">
        <v>189</v>
      </c>
      <c r="P17" s="1" t="str">
        <f>DemTechs_INDF!P$7</f>
        <v>MANELC</v>
      </c>
      <c r="Q17" t="s">
        <v>197</v>
      </c>
      <c r="R17" s="135">
        <v>1.0416666666666666E-2</v>
      </c>
    </row>
    <row r="18" spans="2:18" x14ac:dyDescent="0.25">
      <c r="O18" s="1" t="s">
        <v>189</v>
      </c>
      <c r="P18" s="1" t="str">
        <f>DemTechs_INDF!P$7</f>
        <v>MANELC</v>
      </c>
      <c r="Q18" t="s">
        <v>198</v>
      </c>
      <c r="R18" s="133">
        <v>1.0416666666666666E-2</v>
      </c>
    </row>
    <row r="19" spans="2:18" x14ac:dyDescent="0.25">
      <c r="B19" s="1"/>
      <c r="E19" s="5">
        <f>EBF!J19</f>
        <v>150.60848427090019</v>
      </c>
      <c r="O19" s="1" t="s">
        <v>189</v>
      </c>
      <c r="P19" s="1" t="str">
        <f>DemTechs_INDF!P$7</f>
        <v>MANELC</v>
      </c>
      <c r="Q19" t="s">
        <v>199</v>
      </c>
      <c r="R19" s="133">
        <v>1.0416666666666666E-2</v>
      </c>
    </row>
    <row r="20" spans="2:18" x14ac:dyDescent="0.25">
      <c r="B20" s="1"/>
      <c r="E20" s="5">
        <f>EBF!E19</f>
        <v>8781.4640358504003</v>
      </c>
      <c r="O20" s="1" t="s">
        <v>189</v>
      </c>
      <c r="P20" s="1" t="str">
        <f>DemTechs_INDF!P$7</f>
        <v>MANELC</v>
      </c>
      <c r="Q20" t="s">
        <v>200</v>
      </c>
      <c r="R20" s="133">
        <v>1.0416666666666666E-2</v>
      </c>
    </row>
    <row r="21" spans="2:18" x14ac:dyDescent="0.25">
      <c r="O21" s="1" t="s">
        <v>189</v>
      </c>
      <c r="P21" s="1" t="str">
        <f>DemTechs_INDF!P$7</f>
        <v>MANELC</v>
      </c>
      <c r="Q21" t="s">
        <v>201</v>
      </c>
      <c r="R21" s="135">
        <v>1.0416666666666666E-2</v>
      </c>
    </row>
    <row r="22" spans="2:18" x14ac:dyDescent="0.25">
      <c r="B22" s="127"/>
      <c r="C22" s="1" t="s">
        <v>99</v>
      </c>
      <c r="O22" s="1" t="s">
        <v>189</v>
      </c>
      <c r="P22" s="1" t="str">
        <f>DemTechs_INDF!P$7</f>
        <v>MANELC</v>
      </c>
      <c r="Q22" t="s">
        <v>202</v>
      </c>
      <c r="R22" s="133">
        <v>1.0416666666666666E-2</v>
      </c>
    </row>
    <row r="23" spans="2:18" x14ac:dyDescent="0.25">
      <c r="B23" s="47"/>
      <c r="C23" s="1" t="s">
        <v>100</v>
      </c>
      <c r="O23" s="1" t="s">
        <v>189</v>
      </c>
      <c r="P23" s="1" t="str">
        <f>DemTechs_INDF!P$7</f>
        <v>MANELC</v>
      </c>
      <c r="Q23" t="s">
        <v>203</v>
      </c>
      <c r="R23" s="133">
        <v>1.0416666666666666E-2</v>
      </c>
    </row>
    <row r="24" spans="2:18" x14ac:dyDescent="0.25">
      <c r="O24" s="1" t="s">
        <v>189</v>
      </c>
      <c r="P24" s="1" t="str">
        <f>DemTechs_INDF!P$7</f>
        <v>MANELC</v>
      </c>
      <c r="Q24" t="s">
        <v>204</v>
      </c>
      <c r="R24" s="133">
        <v>1.0416666666666666E-2</v>
      </c>
    </row>
    <row r="25" spans="2:18" x14ac:dyDescent="0.25">
      <c r="O25" s="1" t="s">
        <v>189</v>
      </c>
      <c r="P25" s="1" t="str">
        <f>DemTechs_INDF!P$7</f>
        <v>MANELC</v>
      </c>
      <c r="Q25" t="s">
        <v>205</v>
      </c>
      <c r="R25" s="135">
        <v>1.0416666666666666E-2</v>
      </c>
    </row>
    <row r="26" spans="2:18" x14ac:dyDescent="0.25">
      <c r="O26" s="1" t="s">
        <v>189</v>
      </c>
      <c r="P26" s="1" t="str">
        <f>DemTechs_INDF!P$7</f>
        <v>MANELC</v>
      </c>
      <c r="Q26" t="s">
        <v>206</v>
      </c>
      <c r="R26" s="133">
        <v>1.0416666666666666E-2</v>
      </c>
    </row>
    <row r="27" spans="2:18" x14ac:dyDescent="0.25">
      <c r="O27" s="1" t="s">
        <v>189</v>
      </c>
      <c r="P27" s="1" t="str">
        <f>DemTechs_INDF!P$7</f>
        <v>MANELC</v>
      </c>
      <c r="Q27" t="s">
        <v>207</v>
      </c>
      <c r="R27" s="133">
        <v>1.0416666666666666E-2</v>
      </c>
    </row>
    <row r="28" spans="2:18" x14ac:dyDescent="0.25">
      <c r="O28" s="1" t="s">
        <v>189</v>
      </c>
      <c r="P28" s="1" t="str">
        <f>DemTechs_INDF!P$7</f>
        <v>MANELC</v>
      </c>
      <c r="Q28" t="s">
        <v>208</v>
      </c>
      <c r="R28" s="133">
        <v>1.0416666666666666E-2</v>
      </c>
    </row>
    <row r="29" spans="2:18" x14ac:dyDescent="0.25">
      <c r="O29" s="1" t="s">
        <v>189</v>
      </c>
      <c r="P29" s="1" t="str">
        <f>DemTechs_INDF!P$7</f>
        <v>MANELC</v>
      </c>
      <c r="Q29" t="s">
        <v>209</v>
      </c>
      <c r="R29" s="135">
        <v>1.0416666666666666E-2</v>
      </c>
    </row>
    <row r="30" spans="2:18" x14ac:dyDescent="0.25">
      <c r="O30" s="1" t="s">
        <v>189</v>
      </c>
      <c r="P30" s="1" t="str">
        <f>DemTechs_INDF!P$7</f>
        <v>MANELC</v>
      </c>
      <c r="Q30" t="s">
        <v>210</v>
      </c>
      <c r="R30" s="133">
        <v>1.0416666666666666E-2</v>
      </c>
    </row>
    <row r="31" spans="2:18" x14ac:dyDescent="0.25">
      <c r="O31" s="1" t="s">
        <v>189</v>
      </c>
      <c r="P31" s="1" t="str">
        <f>DemTechs_INDF!P$7</f>
        <v>MANELC</v>
      </c>
      <c r="Q31" t="s">
        <v>211</v>
      </c>
      <c r="R31" s="133">
        <v>1.0416666666666666E-2</v>
      </c>
    </row>
    <row r="32" spans="2:18" x14ac:dyDescent="0.25">
      <c r="O32" s="1" t="s">
        <v>189</v>
      </c>
      <c r="P32" s="1" t="str">
        <f>DemTechs_INDF!P$7</f>
        <v>MANELC</v>
      </c>
      <c r="Q32" t="s">
        <v>212</v>
      </c>
      <c r="R32" s="133">
        <v>1.0416666666666666E-2</v>
      </c>
    </row>
    <row r="33" spans="15:18" x14ac:dyDescent="0.25">
      <c r="O33" s="1" t="s">
        <v>189</v>
      </c>
      <c r="P33" s="1" t="str">
        <f>DemTechs_INDF!P$7</f>
        <v>MANELC</v>
      </c>
      <c r="Q33" t="s">
        <v>213</v>
      </c>
      <c r="R33" s="135">
        <v>1.0416666666666666E-2</v>
      </c>
    </row>
    <row r="34" spans="15:18" x14ac:dyDescent="0.25">
      <c r="O34" s="1" t="s">
        <v>189</v>
      </c>
      <c r="P34" s="1" t="str">
        <f>DemTechs_INDF!P$7</f>
        <v>MANELC</v>
      </c>
      <c r="Q34" t="s">
        <v>214</v>
      </c>
      <c r="R34" s="133">
        <v>1.0416666666666666E-2</v>
      </c>
    </row>
    <row r="35" spans="15:18" x14ac:dyDescent="0.25">
      <c r="O35" s="1" t="s">
        <v>189</v>
      </c>
      <c r="P35" s="1" t="str">
        <f>DemTechs_INDF!P$7</f>
        <v>MANELC</v>
      </c>
      <c r="Q35" t="s">
        <v>215</v>
      </c>
      <c r="R35" s="133">
        <v>1.0416666666666666E-2</v>
      </c>
    </row>
    <row r="36" spans="15:18" x14ac:dyDescent="0.25">
      <c r="O36" s="1" t="s">
        <v>189</v>
      </c>
      <c r="P36" s="1" t="str">
        <f>DemTechs_INDF!P$7</f>
        <v>MANELC</v>
      </c>
      <c r="Q36" t="s">
        <v>216</v>
      </c>
      <c r="R36" s="133">
        <v>3.125E-2</v>
      </c>
    </row>
    <row r="37" spans="15:18" x14ac:dyDescent="0.25">
      <c r="O37" s="1" t="s">
        <v>189</v>
      </c>
      <c r="P37" s="1" t="str">
        <f>DemTechs_INDF!P$7</f>
        <v>MANELC</v>
      </c>
      <c r="Q37" t="s">
        <v>217</v>
      </c>
      <c r="R37" s="135">
        <v>3.125E-2</v>
      </c>
    </row>
    <row r="38" spans="15:18" x14ac:dyDescent="0.25">
      <c r="O38" s="1" t="s">
        <v>189</v>
      </c>
      <c r="P38" s="1" t="str">
        <f>DemTechs_INDF!P$7</f>
        <v>MANELC</v>
      </c>
      <c r="Q38" t="s">
        <v>218</v>
      </c>
      <c r="R38" s="133">
        <v>3.125E-2</v>
      </c>
    </row>
    <row r="39" spans="15:18" x14ac:dyDescent="0.25">
      <c r="O39" s="1" t="s">
        <v>189</v>
      </c>
      <c r="P39" s="1" t="str">
        <f>DemTechs_INDF!P$7</f>
        <v>MANELC</v>
      </c>
      <c r="Q39" t="s">
        <v>219</v>
      </c>
      <c r="R39" s="133">
        <v>3.125E-2</v>
      </c>
    </row>
    <row r="40" spans="15:18" x14ac:dyDescent="0.25">
      <c r="O40" s="1" t="s">
        <v>189</v>
      </c>
      <c r="P40" s="1" t="str">
        <f>DemTechs_INDF!P$7</f>
        <v>MANELC</v>
      </c>
      <c r="Q40" t="s">
        <v>220</v>
      </c>
      <c r="R40" s="133">
        <v>3.125E-2</v>
      </c>
    </row>
    <row r="41" spans="15:18" x14ac:dyDescent="0.25">
      <c r="O41" s="1" t="s">
        <v>189</v>
      </c>
      <c r="P41" s="1" t="str">
        <f>DemTechs_INDF!P$7</f>
        <v>MANELC</v>
      </c>
      <c r="Q41" t="s">
        <v>221</v>
      </c>
      <c r="R41" s="135">
        <v>3.125E-2</v>
      </c>
    </row>
    <row r="42" spans="15:18" x14ac:dyDescent="0.25">
      <c r="O42" s="1" t="s">
        <v>189</v>
      </c>
      <c r="P42" s="1" t="str">
        <f>DemTechs_INDF!P$7</f>
        <v>MANELC</v>
      </c>
      <c r="Q42" t="s">
        <v>222</v>
      </c>
      <c r="R42" s="133">
        <v>3.125E-2</v>
      </c>
    </row>
    <row r="43" spans="15:18" x14ac:dyDescent="0.25">
      <c r="O43" s="1" t="s">
        <v>189</v>
      </c>
      <c r="P43" s="1" t="str">
        <f>DemTechs_INDF!P$7</f>
        <v>MANELC</v>
      </c>
      <c r="Q43" t="s">
        <v>223</v>
      </c>
      <c r="R43" s="133">
        <v>3.125E-2</v>
      </c>
    </row>
    <row r="44" spans="15:18" x14ac:dyDescent="0.25">
      <c r="O44" s="1" t="s">
        <v>189</v>
      </c>
      <c r="P44" s="1" t="str">
        <f>DemTechs_INDF!P$7</f>
        <v>MANELC</v>
      </c>
      <c r="Q44" t="s">
        <v>224</v>
      </c>
      <c r="R44" s="133">
        <v>3.125E-2</v>
      </c>
    </row>
    <row r="45" spans="15:18" x14ac:dyDescent="0.25">
      <c r="O45" s="1" t="s">
        <v>189</v>
      </c>
      <c r="P45" s="1" t="str">
        <f>DemTechs_INDF!P$7</f>
        <v>MANELC</v>
      </c>
      <c r="Q45" t="s">
        <v>225</v>
      </c>
      <c r="R45" s="135">
        <v>3.125E-2</v>
      </c>
    </row>
    <row r="46" spans="15:18" x14ac:dyDescent="0.25">
      <c r="O46" s="1" t="s">
        <v>189</v>
      </c>
      <c r="P46" s="1" t="str">
        <f>DemTechs_INDF!P$7</f>
        <v>MANELC</v>
      </c>
      <c r="Q46" t="s">
        <v>226</v>
      </c>
      <c r="R46" s="133">
        <v>3.125E-2</v>
      </c>
    </row>
    <row r="47" spans="15:18" x14ac:dyDescent="0.25">
      <c r="O47" s="1" t="s">
        <v>189</v>
      </c>
      <c r="P47" s="1" t="str">
        <f>DemTechs_INDF!P$7</f>
        <v>MANELC</v>
      </c>
      <c r="Q47" t="s">
        <v>227</v>
      </c>
      <c r="R47" s="133">
        <v>3.125E-2</v>
      </c>
    </row>
    <row r="48" spans="15:18" x14ac:dyDescent="0.25">
      <c r="O48" s="1" t="s">
        <v>189</v>
      </c>
      <c r="P48" s="1" t="str">
        <f>DemTechs_INDF!P$7</f>
        <v>MANELC</v>
      </c>
      <c r="Q48" t="s">
        <v>228</v>
      </c>
      <c r="R48" s="133">
        <v>3.125E-2</v>
      </c>
    </row>
    <row r="49" spans="15:18" x14ac:dyDescent="0.25">
      <c r="O49" s="1" t="s">
        <v>189</v>
      </c>
      <c r="P49" s="1" t="str">
        <f>DemTechs_INDF!P$7</f>
        <v>MANELC</v>
      </c>
      <c r="Q49" t="s">
        <v>229</v>
      </c>
      <c r="R49" s="135">
        <v>3.125E-2</v>
      </c>
    </row>
    <row r="50" spans="15:18" x14ac:dyDescent="0.25">
      <c r="O50" s="1" t="s">
        <v>189</v>
      </c>
      <c r="P50" s="1" t="str">
        <f>DemTechs_INDF!P$7</f>
        <v>MANELC</v>
      </c>
      <c r="Q50" t="s">
        <v>230</v>
      </c>
      <c r="R50" s="133">
        <v>3.125E-2</v>
      </c>
    </row>
    <row r="51" spans="15:18" x14ac:dyDescent="0.25">
      <c r="O51" s="1" t="s">
        <v>189</v>
      </c>
      <c r="P51" s="1" t="str">
        <f>DemTechs_INDF!P$7</f>
        <v>MANELC</v>
      </c>
      <c r="Q51" t="s">
        <v>231</v>
      </c>
      <c r="R51" s="133">
        <v>3.125E-2</v>
      </c>
    </row>
    <row r="52" spans="15:18" x14ac:dyDescent="0.25">
      <c r="O52" s="1" t="s">
        <v>189</v>
      </c>
      <c r="P52" s="1" t="str">
        <f>DemTechs_INDF!P$7</f>
        <v>MANELC</v>
      </c>
      <c r="Q52" t="s">
        <v>232</v>
      </c>
      <c r="R52" s="133">
        <v>3.125E-2</v>
      </c>
    </row>
    <row r="53" spans="15:18" x14ac:dyDescent="0.25">
      <c r="O53" s="1" t="s">
        <v>189</v>
      </c>
      <c r="P53" s="1" t="str">
        <f>DemTechs_INDF!P$7</f>
        <v>MANELC</v>
      </c>
      <c r="Q53" t="s">
        <v>233</v>
      </c>
      <c r="R53" s="135">
        <v>3.125E-2</v>
      </c>
    </row>
    <row r="54" spans="15:18" x14ac:dyDescent="0.25">
      <c r="O54" s="1" t="s">
        <v>189</v>
      </c>
      <c r="P54" s="1" t="str">
        <f>DemTechs_INDF!P$7</f>
        <v>MANELC</v>
      </c>
      <c r="Q54" t="s">
        <v>234</v>
      </c>
      <c r="R54" s="133">
        <v>3.125E-2</v>
      </c>
    </row>
    <row r="55" spans="15:18" x14ac:dyDescent="0.25">
      <c r="O55" s="1" t="s">
        <v>189</v>
      </c>
      <c r="P55" s="1" t="str">
        <f>DemTechs_INDF!P$7</f>
        <v>MANELC</v>
      </c>
      <c r="Q55" t="s">
        <v>235</v>
      </c>
      <c r="R55" s="133">
        <v>3.125E-2</v>
      </c>
    </row>
    <row r="56" spans="15:18" x14ac:dyDescent="0.25">
      <c r="O56" s="1" t="s">
        <v>189</v>
      </c>
      <c r="P56" s="1" t="str">
        <f>DemTechs_INDF!P$7</f>
        <v>MANELC</v>
      </c>
      <c r="Q56" t="s">
        <v>236</v>
      </c>
      <c r="R56" s="133">
        <v>3.125E-2</v>
      </c>
    </row>
    <row r="57" spans="15:18" x14ac:dyDescent="0.25">
      <c r="O57" s="1" t="s">
        <v>189</v>
      </c>
      <c r="P57" s="1" t="str">
        <f>DemTechs_INDF!P$7</f>
        <v>MANELC</v>
      </c>
      <c r="Q57" t="s">
        <v>237</v>
      </c>
      <c r="R57" s="135">
        <v>3.125E-2</v>
      </c>
    </row>
    <row r="58" spans="15:18" x14ac:dyDescent="0.25">
      <c r="O58" s="1" t="s">
        <v>189</v>
      </c>
      <c r="P58" s="1" t="str">
        <f>DemTechs_INDF!P$7</f>
        <v>MANELC</v>
      </c>
      <c r="Q58" t="s">
        <v>238</v>
      </c>
      <c r="R58" s="133">
        <v>3.125E-2</v>
      </c>
    </row>
    <row r="59" spans="15:18" x14ac:dyDescent="0.25">
      <c r="O59" s="1" t="s">
        <v>189</v>
      </c>
      <c r="P59" s="1" t="str">
        <f>DemTechs_INDF!P$7</f>
        <v>MANELC</v>
      </c>
      <c r="Q59" t="s">
        <v>239</v>
      </c>
      <c r="R59" s="133">
        <v>3.125E-2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Energybalance history</vt:lpstr>
      <vt:lpstr>Enrgy growth</vt:lpstr>
      <vt:lpstr>TechnologydataTech</vt:lpstr>
      <vt:lpstr>EBF TJ</vt:lpstr>
      <vt:lpstr>EBF</vt:lpstr>
      <vt:lpstr>RES&amp;OBJ</vt:lpstr>
      <vt:lpstr>PRI_Sector_Fuels</vt:lpstr>
      <vt:lpstr>DemTechs_INDF</vt:lpstr>
      <vt:lpstr>Demands</vt:lpstr>
      <vt:lpstr>Emi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Meselu Tegenie Mellaku</cp:lastModifiedBy>
  <cp:lastPrinted>2004-11-16T14:57:57Z</cp:lastPrinted>
  <dcterms:created xsi:type="dcterms:W3CDTF">2000-12-13T15:53:11Z</dcterms:created>
  <dcterms:modified xsi:type="dcterms:W3CDTF">2025-10-25T05:08:56Z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632569849491119</vt:lpwstr>
  </property>
  <property fmtid="{D5CDD505-2E9C-101B-9397-08002B2CF9AE}" pid="3" name="MSIP_Label_d0484126-3486-41a9-802e-7f1e2277276c_Enabled">
    <vt:lpwstr>true</vt:lpwstr>
  </property>
  <property fmtid="{D5CDD505-2E9C-101B-9397-08002B2CF9AE}" pid="4" name="MSIP_Label_d0484126-3486-41a9-802e-7f1e2277276c_SetDate">
    <vt:lpwstr>2025-09-17T12:26:11Z</vt:lpwstr>
  </property>
  <property fmtid="{D5CDD505-2E9C-101B-9397-08002B2CF9AE}" pid="5" name="MSIP_Label_d0484126-3486-41a9-802e-7f1e2277276c_Method">
    <vt:lpwstr>Standard</vt:lpwstr>
  </property>
  <property fmtid="{D5CDD505-2E9C-101B-9397-08002B2CF9AE}" pid="6" name="MSIP_Label_d0484126-3486-41a9-802e-7f1e2277276c_Name">
    <vt:lpwstr>d0484126-3486-41a9-802e-7f1e2277276c</vt:lpwstr>
  </property>
  <property fmtid="{D5CDD505-2E9C-101B-9397-08002B2CF9AE}" pid="7" name="MSIP_Label_d0484126-3486-41a9-802e-7f1e2277276c_SiteId">
    <vt:lpwstr>eec01f8e-737f-43e3-9ed5-f8a59913bd82</vt:lpwstr>
  </property>
  <property fmtid="{D5CDD505-2E9C-101B-9397-08002B2CF9AE}" pid="8" name="MSIP_Label_d0484126-3486-41a9-802e-7f1e2277276c_ActionId">
    <vt:lpwstr>0da2c098-5e40-4ca4-98d0-94ecf3bb983a</vt:lpwstr>
  </property>
  <property fmtid="{D5CDD505-2E9C-101B-9397-08002B2CF9AE}" pid="9" name="MSIP_Label_d0484126-3486-41a9-802e-7f1e2277276c_ContentBits">
    <vt:lpwstr>0</vt:lpwstr>
  </property>
  <property fmtid="{D5CDD505-2E9C-101B-9397-08002B2CF9AE}" pid="10" name="MSIP_Label_d0484126-3486-41a9-802e-7f1e2277276c_Tag">
    <vt:lpwstr>10, 3, 0, 1</vt:lpwstr>
  </property>
</Properties>
</file>