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2C08BA16-2117-4288-9E85-3BC73EF6C0DC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43" l="1"/>
  <c r="C26" i="143"/>
  <c r="C25" i="143"/>
  <c r="D23" i="143"/>
  <c r="D24" i="143"/>
  <c r="D25" i="143"/>
  <c r="D22" i="143"/>
  <c r="D20" i="143"/>
  <c r="D21" i="143"/>
  <c r="D19" i="143"/>
  <c r="B25" i="143"/>
  <c r="B24" i="143"/>
  <c r="C24" i="143"/>
  <c r="C23" i="143"/>
  <c r="B23" i="143"/>
  <c r="B22" i="143"/>
  <c r="C22" i="143"/>
  <c r="B21" i="143"/>
  <c r="C21" i="143"/>
  <c r="C20" i="143"/>
  <c r="B20" i="143"/>
  <c r="D35" i="137"/>
  <c r="D34" i="137"/>
  <c r="B34" i="137"/>
  <c r="B35" i="137"/>
  <c r="B31" i="137"/>
  <c r="B32" i="137"/>
  <c r="B33" i="137"/>
  <c r="O31" i="137"/>
  <c r="O30" i="137"/>
  <c r="N31" i="137"/>
  <c r="N30" i="137"/>
  <c r="G5" i="137"/>
  <c r="G6" i="137"/>
  <c r="G7" i="137"/>
  <c r="G8" i="137"/>
  <c r="B30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30" i="143"/>
  <c r="D29" i="143"/>
  <c r="C30" i="143"/>
  <c r="C29" i="143"/>
  <c r="I44" i="137"/>
  <c r="I43" i="137"/>
  <c r="H44" i="137"/>
  <c r="H43" i="137"/>
  <c r="D44" i="137"/>
  <c r="D43" i="137"/>
  <c r="F36" i="143"/>
  <c r="E16" i="143" l="1"/>
  <c r="E19" i="143"/>
  <c r="E18" i="143"/>
  <c r="E17" i="143"/>
  <c r="C10" i="145" l="1"/>
  <c r="I30" i="137"/>
  <c r="I29" i="137"/>
  <c r="E13" i="145" l="1"/>
  <c r="E12" i="145"/>
  <c r="B18" i="143"/>
  <c r="O29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9" i="137"/>
  <c r="L29" i="137"/>
  <c r="N29" i="137" s="1"/>
  <c r="K48" i="133"/>
  <c r="I28" i="137"/>
  <c r="I27" i="137"/>
  <c r="D28" i="137"/>
  <c r="D27" i="137"/>
  <c r="B17" i="143"/>
  <c r="B16" i="143"/>
  <c r="C17" i="143"/>
  <c r="D2" i="143"/>
  <c r="D9" i="145" l="1"/>
  <c r="B29" i="137"/>
  <c r="B43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8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8" i="137"/>
  <c r="L27" i="137"/>
  <c r="G2" i="137"/>
  <c r="D2" i="137"/>
  <c r="O27" i="137" s="1"/>
  <c r="C2" i="137"/>
  <c r="I26" i="137" l="1"/>
  <c r="G26" i="137"/>
  <c r="N27" i="137"/>
  <c r="B27" i="137" s="1"/>
  <c r="N28" i="137"/>
  <c r="B28" i="137" s="1"/>
  <c r="O28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4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4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4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4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5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<sst xmlns="http://schemas.openxmlformats.org/spreadsheetml/2006/main" count="675" uniqueCount="294">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</sst>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45</xdr:row>
      <xdr:rowOff>137160</xdr:rowOff>
    </xdr:from>
    <xdr:to>
      <xdr:col>15</xdr:col>
      <xdr:colOff>133299</xdr:colOff>
      <xdr:row>54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31</xdr:row>
      <xdr:rowOff>65943</xdr:rowOff>
    </xdr:from>
    <xdr:to>
      <xdr:col>16</xdr:col>
      <xdr:colOff>3771674</xdr:colOff>
      <xdr:row>36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2"/>
      <c r="E11" s="132">
        <f>'EBF TJ'!E11*0.2777778</f>
        <v>-2.0000001600000004</v>
      </c>
      <c r="F11" s="132">
        <f>'EBF TJ'!F11*0.2777778</f>
        <v>-16770.812452776001</v>
      </c>
      <c r="G11" s="132"/>
      <c r="H11" s="132"/>
      <c r="I11" s="132"/>
      <c r="J11" s="132"/>
      <c r="K11" s="132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2" customFormat="1" x14ac:dyDescent="0.25">
      <c r="B18" s="148" t="s">
        <v>133</v>
      </c>
      <c r="C18" s="149" t="s">
        <v>134</v>
      </c>
      <c r="D18" s="150">
        <f>'EBF TJ'!D18*0.2777778</f>
        <v>7676.2275585426005</v>
      </c>
      <c r="E18" s="150">
        <f>'EBF TJ'!E18*0.2777778</f>
        <v>2605.1202084096003</v>
      </c>
      <c r="F18" s="150">
        <f>'EBF TJ'!F18*0.2777778</f>
        <v>0</v>
      </c>
      <c r="G18" s="150">
        <f>'EBF TJ'!G18*0.2777778</f>
        <v>0</v>
      </c>
      <c r="H18" s="150">
        <f>'EBF TJ'!H18*0.2777778</f>
        <v>0</v>
      </c>
      <c r="I18" s="150">
        <f>'EBF TJ'!I18*0.2777778</f>
        <v>0</v>
      </c>
      <c r="J18" s="150">
        <f>'EBF TJ'!J18*0.2777778</f>
        <v>2861.5612011470998</v>
      </c>
      <c r="K18" s="151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1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1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1">
        <f>SUM(D48:J48)</f>
        <v>1</v>
      </c>
      <c r="L48" t="s">
        <v>171</v>
      </c>
    </row>
    <row r="49" spans="10:11" x14ac:dyDescent="0.25">
      <c r="J49" s="118"/>
      <c r="K49" s="121"/>
    </row>
    <row r="50" spans="10:11" x14ac:dyDescent="0.25">
      <c r="J50" s="118"/>
      <c r="K50" s="121"/>
    </row>
    <row r="51" spans="10:11" x14ac:dyDescent="0.25">
      <c r="J51" s="118"/>
      <c r="K51" s="121"/>
    </row>
    <row r="52" spans="10:11" x14ac:dyDescent="0.25">
      <c r="J52" s="118"/>
      <c r="K52" s="121"/>
    </row>
    <row r="53" spans="10:11" x14ac:dyDescent="0.25">
      <c r="J53" s="118"/>
      <c r="K53" s="121"/>
    </row>
    <row r="54" spans="10:11" x14ac:dyDescent="0.25">
      <c r="J54" s="118"/>
      <c r="K54" s="121"/>
    </row>
    <row r="55" spans="10:11" x14ac:dyDescent="0.25">
      <c r="J55" s="118"/>
      <c r="K55" s="121"/>
    </row>
    <row r="56" spans="10:11" x14ac:dyDescent="0.25">
      <c r="J56" s="118"/>
      <c r="K56" s="121"/>
    </row>
    <row r="57" spans="10:11" x14ac:dyDescent="0.25">
      <c r="J57" s="118"/>
      <c r="K57" s="121"/>
    </row>
    <row r="58" spans="10:11" x14ac:dyDescent="0.25">
      <c r="J58" s="118"/>
      <c r="K58" s="121"/>
    </row>
    <row r="59" spans="10:11" x14ac:dyDescent="0.25">
      <c r="J59" s="118"/>
      <c r="K59" s="121"/>
    </row>
    <row r="60" spans="10:11" x14ac:dyDescent="0.25">
      <c r="J60" s="118"/>
      <c r="K60" s="121"/>
    </row>
    <row r="61" spans="10:11" x14ac:dyDescent="0.25">
      <c r="J61" s="118"/>
      <c r="K61" s="121"/>
    </row>
    <row r="62" spans="10:11" x14ac:dyDescent="0.25">
      <c r="J62" s="118"/>
      <c r="K62" s="121"/>
    </row>
    <row r="63" spans="10:11" x14ac:dyDescent="0.25">
      <c r="J63" s="118"/>
      <c r="K63" s="121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1"/>
  <sheetViews>
    <sheetView zoomScale="96" zoomScaleNormal="96" workbookViewId="0">
      <selection activeCell="H34" sqref="H3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2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3" t="s">
        <v>286</v>
      </c>
      <c r="D5" s="163" t="s">
        <v>142</v>
      </c>
      <c r="E5" s="81" t="s">
        <v>167</v>
      </c>
      <c r="F5" s="163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3" t="s">
        <v>139</v>
      </c>
      <c r="D6" s="163" t="s">
        <v>141</v>
      </c>
      <c r="E6" s="81" t="s">
        <v>167</v>
      </c>
      <c r="F6" s="163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3" t="s">
        <v>131</v>
      </c>
      <c r="D7" s="163" t="s">
        <v>124</v>
      </c>
      <c r="E7" s="81" t="s">
        <v>167</v>
      </c>
      <c r="F7" s="163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3" t="s">
        <v>287</v>
      </c>
      <c r="D8" s="163" t="s">
        <v>288</v>
      </c>
      <c r="E8" s="81" t="s">
        <v>167</v>
      </c>
      <c r="F8" s="163"/>
      <c r="G8" s="7">
        <f>EBF!P6</f>
        <v>0</v>
      </c>
      <c r="L8" s="66" t="s">
        <v>74</v>
      </c>
      <c r="M8" s="70"/>
      <c r="N8" s="161" t="s">
        <v>265</v>
      </c>
      <c r="O8" s="161" t="s">
        <v>275</v>
      </c>
      <c r="P8" s="66" t="s">
        <v>167</v>
      </c>
      <c r="Q8" s="66" t="s">
        <v>180</v>
      </c>
      <c r="R8" s="66"/>
      <c r="S8" s="66"/>
      <c r="T8" s="66"/>
    </row>
    <row r="9" spans="2:20" s="163" customFormat="1" x14ac:dyDescent="0.25">
      <c r="L9" s="164" t="s">
        <v>74</v>
      </c>
      <c r="M9" s="164"/>
      <c r="N9" s="164" t="s">
        <v>277</v>
      </c>
      <c r="O9" s="164" t="s">
        <v>279</v>
      </c>
      <c r="P9" s="164" t="s">
        <v>167</v>
      </c>
      <c r="Q9" s="164"/>
      <c r="R9" s="164"/>
      <c r="S9" s="164"/>
      <c r="T9" s="164"/>
    </row>
    <row r="10" spans="2:20" s="163" customFormat="1" x14ac:dyDescent="0.25">
      <c r="L10" s="164" t="s">
        <v>74</v>
      </c>
      <c r="M10" s="164"/>
      <c r="N10" s="164" t="s">
        <v>278</v>
      </c>
      <c r="O10" s="164" t="s">
        <v>280</v>
      </c>
      <c r="P10" s="164" t="s">
        <v>167</v>
      </c>
      <c r="Q10" s="164"/>
      <c r="R10" s="164"/>
      <c r="S10" s="164"/>
      <c r="T10" s="164"/>
    </row>
    <row r="11" spans="2:20" s="163" customFormat="1" x14ac:dyDescent="0.25">
      <c r="L11" s="164" t="s">
        <v>74</v>
      </c>
      <c r="M11" s="164"/>
      <c r="N11" s="164" t="s">
        <v>281</v>
      </c>
      <c r="O11" s="164" t="s">
        <v>282</v>
      </c>
      <c r="P11" s="164" t="s">
        <v>167</v>
      </c>
      <c r="Q11" s="164"/>
      <c r="R11" s="164"/>
      <c r="S11" s="164"/>
      <c r="T11" s="164"/>
    </row>
    <row r="12" spans="2:20" s="163" customFormat="1" x14ac:dyDescent="0.25">
      <c r="L12" s="164" t="s">
        <v>74</v>
      </c>
      <c r="M12" s="164"/>
      <c r="N12" s="164" t="s">
        <v>283</v>
      </c>
      <c r="O12" s="164" t="s">
        <v>124</v>
      </c>
      <c r="P12" s="164" t="s">
        <v>167</v>
      </c>
      <c r="Q12" s="164"/>
      <c r="R12" s="164"/>
      <c r="S12" s="164"/>
      <c r="T12" s="164"/>
    </row>
    <row r="13" spans="2:20" s="163" customFormat="1" x14ac:dyDescent="0.25">
      <c r="L13" s="164" t="s">
        <v>74</v>
      </c>
      <c r="M13" s="164"/>
      <c r="N13" s="164" t="s">
        <v>284</v>
      </c>
      <c r="O13" s="164" t="s">
        <v>285</v>
      </c>
      <c r="P13" s="164" t="s">
        <v>167</v>
      </c>
      <c r="Q13" s="164"/>
      <c r="R13" s="164"/>
      <c r="S13" s="164"/>
      <c r="T13" s="164"/>
    </row>
    <row r="14" spans="2:20" x14ac:dyDescent="0.25">
      <c r="L14" s="66"/>
      <c r="M14" s="70"/>
      <c r="N14" s="161"/>
      <c r="O14" s="161"/>
      <c r="P14" s="66"/>
      <c r="Q14" s="66"/>
      <c r="R14" s="66"/>
      <c r="S14" s="66"/>
      <c r="T14" s="66"/>
    </row>
    <row r="16" spans="2:20" x14ac:dyDescent="0.25">
      <c r="L16" s="66" t="s">
        <v>82</v>
      </c>
      <c r="M16" s="70"/>
      <c r="N16" s="66" t="s">
        <v>178</v>
      </c>
      <c r="O16" s="66" t="s">
        <v>259</v>
      </c>
      <c r="P16" s="66" t="s">
        <v>167</v>
      </c>
      <c r="Q16" s="66" t="s">
        <v>180</v>
      </c>
      <c r="R16" s="66"/>
      <c r="S16" s="66"/>
      <c r="T16" s="66"/>
    </row>
    <row r="17" spans="2:20" x14ac:dyDescent="0.25">
      <c r="L17" s="66" t="s">
        <v>82</v>
      </c>
      <c r="M17" s="70"/>
      <c r="N17" s="66" t="s">
        <v>173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74</v>
      </c>
      <c r="M18" s="70"/>
      <c r="N18" s="66" t="s">
        <v>247</v>
      </c>
      <c r="O18" s="66" t="s">
        <v>254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255</v>
      </c>
      <c r="O19" s="66" t="s">
        <v>256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248</v>
      </c>
      <c r="O20" s="66" t="s">
        <v>257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/>
      <c r="M21" s="70"/>
      <c r="N21" s="66"/>
      <c r="O21" s="66"/>
      <c r="P21" s="66"/>
      <c r="Q21" s="66"/>
      <c r="R21" s="66"/>
      <c r="S21" s="66"/>
      <c r="T21" s="66"/>
    </row>
    <row r="22" spans="2:20" x14ac:dyDescent="0.25">
      <c r="L22" s="1"/>
      <c r="N22" s="1"/>
      <c r="O22" s="1"/>
      <c r="P22" s="1"/>
      <c r="Q22" s="1"/>
      <c r="R22" s="1"/>
      <c r="S22" s="1"/>
      <c r="T22" s="1"/>
    </row>
    <row r="23" spans="2:20" x14ac:dyDescent="0.25">
      <c r="F23" s="3" t="s">
        <v>13</v>
      </c>
      <c r="H23" s="3"/>
      <c r="L23" s="65" t="s">
        <v>15</v>
      </c>
      <c r="M23" s="65"/>
      <c r="N23" s="70"/>
      <c r="O23" s="70"/>
      <c r="P23" s="70"/>
      <c r="Q23" s="70"/>
      <c r="R23" s="70"/>
      <c r="S23" s="70"/>
      <c r="T23" s="70"/>
    </row>
    <row r="24" spans="2:20" x14ac:dyDescent="0.25">
      <c r="B24" s="2" t="s">
        <v>1</v>
      </c>
      <c r="C24" s="10" t="s">
        <v>5</v>
      </c>
      <c r="D24" s="2" t="s">
        <v>6</v>
      </c>
      <c r="E24" s="2" t="s">
        <v>97</v>
      </c>
      <c r="F24" s="2" t="s">
        <v>8</v>
      </c>
      <c r="G24" s="64" t="s">
        <v>34</v>
      </c>
      <c r="H24" s="64" t="s">
        <v>35</v>
      </c>
      <c r="I24" s="64" t="s">
        <v>80</v>
      </c>
      <c r="J24" s="78" t="s">
        <v>168</v>
      </c>
      <c r="L24" s="67" t="s">
        <v>11</v>
      </c>
      <c r="M24" s="68" t="s">
        <v>30</v>
      </c>
      <c r="N24" s="67" t="s">
        <v>1</v>
      </c>
      <c r="O24" s="67" t="s">
        <v>2</v>
      </c>
      <c r="P24" s="67" t="s">
        <v>16</v>
      </c>
      <c r="Q24" s="67" t="s">
        <v>17</v>
      </c>
      <c r="R24" s="67" t="s">
        <v>18</v>
      </c>
      <c r="S24" s="67" t="s">
        <v>19</v>
      </c>
      <c r="T24" s="67" t="s">
        <v>20</v>
      </c>
    </row>
    <row r="25" spans="2:20" ht="21.6" thickBot="1" x14ac:dyDescent="0.3">
      <c r="B25" s="9" t="s">
        <v>39</v>
      </c>
      <c r="C25" s="9" t="s">
        <v>32</v>
      </c>
      <c r="D25" s="9" t="s">
        <v>33</v>
      </c>
      <c r="E25" s="9"/>
      <c r="F25" s="9"/>
      <c r="G25" s="9" t="s">
        <v>36</v>
      </c>
      <c r="H25" s="9" t="s">
        <v>89</v>
      </c>
      <c r="I25" s="9" t="s">
        <v>88</v>
      </c>
      <c r="J25" s="79" t="s">
        <v>169</v>
      </c>
      <c r="L25" s="69" t="s">
        <v>38</v>
      </c>
      <c r="M25" s="69" t="s">
        <v>31</v>
      </c>
      <c r="N25" s="69" t="s">
        <v>21</v>
      </c>
      <c r="O25" s="69" t="s">
        <v>22</v>
      </c>
      <c r="P25" s="69" t="s">
        <v>23</v>
      </c>
      <c r="Q25" s="69" t="s">
        <v>24</v>
      </c>
      <c r="R25" s="69" t="s">
        <v>43</v>
      </c>
      <c r="S25" s="69" t="s">
        <v>42</v>
      </c>
      <c r="T25" s="69" t="s">
        <v>25</v>
      </c>
    </row>
    <row r="26" spans="2:20" ht="21.6" thickBot="1" x14ac:dyDescent="0.3">
      <c r="B26" s="9" t="s">
        <v>87</v>
      </c>
      <c r="C26" s="8"/>
      <c r="D26" s="8"/>
      <c r="E26" s="8"/>
      <c r="F26" s="8"/>
      <c r="G26" s="8" t="str">
        <f>$E$2</f>
        <v>GWh</v>
      </c>
      <c r="H26" s="8" t="s">
        <v>243</v>
      </c>
      <c r="I26" s="8" t="str">
        <f>$E$2</f>
        <v>GWh</v>
      </c>
      <c r="J26" s="80"/>
      <c r="L26" s="69" t="s">
        <v>81</v>
      </c>
      <c r="M26" s="71"/>
      <c r="N26" s="71"/>
      <c r="O26" s="71"/>
      <c r="P26" s="71"/>
      <c r="Q26" s="71"/>
      <c r="R26" s="71"/>
      <c r="S26" s="71"/>
      <c r="T26" s="71"/>
    </row>
    <row r="27" spans="2:20" x14ac:dyDescent="0.25">
      <c r="B27" s="66" t="str">
        <f>N27</f>
        <v>MINCOA</v>
      </c>
      <c r="C27" s="1"/>
      <c r="D27" s="66" t="str">
        <f>N5</f>
        <v>MANCOALMIN</v>
      </c>
      <c r="E27" s="1">
        <v>2022</v>
      </c>
      <c r="F27" s="1" t="s">
        <v>103</v>
      </c>
      <c r="G27" s="48">
        <v>2673000</v>
      </c>
      <c r="H27" s="49">
        <v>4.5449999999999999</v>
      </c>
      <c r="I27" s="91">
        <f>EBF!D5</f>
        <v>4518.4003614720004</v>
      </c>
      <c r="J27" s="122">
        <v>8.76</v>
      </c>
      <c r="L27" s="66" t="str">
        <f>EBF!$B$5</f>
        <v>MIN</v>
      </c>
      <c r="M27" s="70"/>
      <c r="N27" s="70" t="str">
        <f>$L$27&amp;$C$2</f>
        <v>MINCOA</v>
      </c>
      <c r="O27" s="72" t="str">
        <f>"Domestic Supply of "&amp;$D$2&amp;" "</f>
        <v xml:space="preserve">Domestic Supply of Coal </v>
      </c>
      <c r="P27" s="70" t="s">
        <v>167</v>
      </c>
      <c r="Q27" s="70"/>
      <c r="R27" s="70"/>
      <c r="S27" s="70"/>
      <c r="T27" s="70"/>
    </row>
    <row r="28" spans="2:20" x14ac:dyDescent="0.25">
      <c r="B28" s="66" t="str">
        <f t="shared" ref="B28:B29" si="0">N28</f>
        <v>IMPCOA</v>
      </c>
      <c r="C28" s="1"/>
      <c r="D28" s="66" t="str">
        <f>N6</f>
        <v>MANCOALIMP</v>
      </c>
      <c r="E28" s="1">
        <v>2022</v>
      </c>
      <c r="F28" s="1" t="s">
        <v>103</v>
      </c>
      <c r="G28" s="62"/>
      <c r="H28" s="63">
        <v>21.004999999999999</v>
      </c>
      <c r="I28" s="92">
        <f>EBF!D6</f>
        <v>3157.6616415018002</v>
      </c>
      <c r="J28" s="122">
        <v>8.76</v>
      </c>
      <c r="L28" s="70" t="str">
        <f>EBF!$B$6</f>
        <v>IMP</v>
      </c>
      <c r="M28" s="70"/>
      <c r="N28" s="70" t="str">
        <f>$L$28&amp;$C$2</f>
        <v>IMPCOA</v>
      </c>
      <c r="O28" s="72" t="str">
        <f>"Import of "&amp;$D$2&amp;" "</f>
        <v xml:space="preserve">Import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si="0"/>
        <v>IMPOIL</v>
      </c>
      <c r="C29" s="1"/>
      <c r="D29" s="66" t="str">
        <f t="shared" ref="D29" si="1">N7</f>
        <v>MANOILIMP</v>
      </c>
      <c r="E29" s="1">
        <v>2022</v>
      </c>
      <c r="F29" s="1" t="s">
        <v>103</v>
      </c>
      <c r="H29" s="49">
        <v>29.234999999999999</v>
      </c>
      <c r="I29" s="92">
        <f>EBF!E18</f>
        <v>2605.1202084096003</v>
      </c>
      <c r="J29" s="122">
        <v>8.76</v>
      </c>
      <c r="L29" t="str">
        <f>EBF!B6</f>
        <v>IMP</v>
      </c>
      <c r="N29" s="70" t="str">
        <f>$L$29&amp;$C$3</f>
        <v>IMPOIL</v>
      </c>
      <c r="O29" s="72" t="str">
        <f>"Import of "&amp;$D$3&amp;" "</f>
        <v xml:space="preserve">Import of Oil </v>
      </c>
      <c r="P29" t="s">
        <v>167</v>
      </c>
    </row>
    <row r="30" spans="2:20" x14ac:dyDescent="0.25">
      <c r="B30" s="66" t="str">
        <f>N8</f>
        <v>GRIDELC</v>
      </c>
      <c r="C30" s="70"/>
      <c r="D30" s="161" t="s">
        <v>46</v>
      </c>
      <c r="E30" s="1">
        <v>2022</v>
      </c>
      <c r="F30" s="1" t="s">
        <v>103</v>
      </c>
      <c r="H30" s="49">
        <v>100</v>
      </c>
      <c r="I30" s="92">
        <f>EBF!J18</f>
        <v>2861.5612011470998</v>
      </c>
      <c r="J30" s="122">
        <v>8.76</v>
      </c>
      <c r="L30" s="163" t="s">
        <v>50</v>
      </c>
      <c r="M30" s="163"/>
      <c r="N30" s="164" t="str">
        <f>$L$29&amp;$C$7</f>
        <v>IMPBIO</v>
      </c>
      <c r="O30" s="165" t="str">
        <f>"Domestic Supply of "&amp;$D$7&amp;" "</f>
        <v xml:space="preserve">Domestic Supply of Biomass </v>
      </c>
      <c r="P30" s="163" t="s">
        <v>167</v>
      </c>
    </row>
    <row r="31" spans="2:20" x14ac:dyDescent="0.25">
      <c r="B31" s="66" t="str">
        <f t="shared" ref="B31:B35" si="2">N9</f>
        <v>WINDELC</v>
      </c>
      <c r="C31" s="70"/>
      <c r="D31" s="161" t="s">
        <v>46</v>
      </c>
      <c r="E31" s="1">
        <v>2022</v>
      </c>
      <c r="F31" s="1"/>
      <c r="H31" s="49"/>
      <c r="I31" s="92"/>
      <c r="J31" s="122"/>
      <c r="L31" s="163" t="s">
        <v>50</v>
      </c>
      <c r="M31" s="163"/>
      <c r="N31" s="164" t="str">
        <f>$L$29&amp;$C$8</f>
        <v>IMPGAS</v>
      </c>
      <c r="O31" s="165" t="str">
        <f>"Domestic Supply of "&amp;$D$8&amp;" "</f>
        <v xml:space="preserve">Domestic Supply of Ngas </v>
      </c>
      <c r="P31" s="163" t="s">
        <v>167</v>
      </c>
    </row>
    <row r="32" spans="2:20" x14ac:dyDescent="0.25">
      <c r="B32" s="66" t="str">
        <f t="shared" si="2"/>
        <v>SOLELC</v>
      </c>
      <c r="C32" s="70"/>
      <c r="D32" s="161" t="s">
        <v>46</v>
      </c>
      <c r="E32" s="1">
        <v>2022</v>
      </c>
      <c r="F32" s="1"/>
      <c r="H32" s="49"/>
      <c r="I32" s="92"/>
      <c r="J32" s="122"/>
      <c r="N32" s="70"/>
      <c r="O32" s="72"/>
    </row>
    <row r="33" spans="2:16" x14ac:dyDescent="0.25">
      <c r="B33" s="66" t="str">
        <f t="shared" si="2"/>
        <v>SOLTHT</v>
      </c>
      <c r="C33" s="70"/>
      <c r="D33" s="161" t="s">
        <v>178</v>
      </c>
      <c r="E33" s="1">
        <v>2022</v>
      </c>
      <c r="F33" s="1"/>
      <c r="H33" s="49"/>
      <c r="I33" s="92"/>
      <c r="J33" s="122"/>
      <c r="N33" s="70"/>
      <c r="O33" s="72"/>
    </row>
    <row r="34" spans="2:16" x14ac:dyDescent="0.25">
      <c r="B34" s="66" t="str">
        <f>N12</f>
        <v>MANBIOMIN</v>
      </c>
      <c r="C34" s="70"/>
      <c r="D34" s="161" t="str">
        <f>N12</f>
        <v>MANBIOMIN</v>
      </c>
      <c r="E34" s="1">
        <v>2022</v>
      </c>
      <c r="F34" s="1"/>
      <c r="H34" s="49"/>
      <c r="I34" s="92"/>
      <c r="J34" s="122"/>
      <c r="N34" s="70"/>
      <c r="O34" s="72"/>
    </row>
    <row r="35" spans="2:16" x14ac:dyDescent="0.25">
      <c r="B35" s="66" t="str">
        <f t="shared" si="2"/>
        <v>MANGASMIN</v>
      </c>
      <c r="C35" s="70"/>
      <c r="D35" s="161" t="str">
        <f>N13</f>
        <v>MANGASMIN</v>
      </c>
      <c r="E35" s="1">
        <v>2022</v>
      </c>
      <c r="F35" s="1"/>
      <c r="H35" s="49"/>
      <c r="I35" s="92"/>
      <c r="J35" s="122"/>
      <c r="N35" s="70"/>
      <c r="O35" s="72"/>
    </row>
    <row r="36" spans="2:16" x14ac:dyDescent="0.25">
      <c r="B36" s="66"/>
      <c r="C36" s="70"/>
      <c r="D36" s="161"/>
      <c r="E36" s="1"/>
      <c r="F36" s="1"/>
      <c r="H36" s="49"/>
      <c r="I36" s="92"/>
      <c r="J36" s="122"/>
      <c r="N36" s="70"/>
      <c r="O36" s="72"/>
    </row>
    <row r="37" spans="2:16" x14ac:dyDescent="0.25">
      <c r="B37" s="66"/>
      <c r="C37" s="70"/>
      <c r="D37" s="161"/>
      <c r="E37" s="1"/>
      <c r="F37" s="1"/>
      <c r="H37" s="49"/>
      <c r="I37" s="92"/>
      <c r="J37" s="122"/>
      <c r="N37" s="70"/>
      <c r="O37" s="72"/>
    </row>
    <row r="38" spans="2:16" x14ac:dyDescent="0.25">
      <c r="B38" s="66"/>
      <c r="C38" s="70"/>
      <c r="D38" s="161"/>
      <c r="E38" s="1"/>
      <c r="F38" s="1"/>
      <c r="H38" s="49"/>
      <c r="I38" s="92"/>
      <c r="J38" s="122"/>
      <c r="N38" s="70"/>
      <c r="O38" s="72"/>
    </row>
    <row r="39" spans="2:16" x14ac:dyDescent="0.25">
      <c r="B39" s="66"/>
      <c r="C39" s="70"/>
      <c r="D39" s="161"/>
      <c r="E39" s="1"/>
      <c r="F39" s="1"/>
      <c r="H39" s="49"/>
      <c r="I39" s="92"/>
      <c r="J39" s="122"/>
      <c r="N39" s="70"/>
      <c r="O39" s="72"/>
    </row>
    <row r="40" spans="2:16" x14ac:dyDescent="0.25">
      <c r="B40" s="66"/>
      <c r="C40" s="70"/>
      <c r="D40" s="161"/>
      <c r="E40" s="1"/>
      <c r="F40" s="1"/>
      <c r="H40" s="49"/>
      <c r="I40" s="92"/>
      <c r="J40" s="122"/>
      <c r="N40" s="70"/>
      <c r="O40" s="72"/>
    </row>
    <row r="41" spans="2:16" x14ac:dyDescent="0.25">
      <c r="B41" s="66"/>
      <c r="D41" s="66"/>
      <c r="E41" s="1"/>
      <c r="F41" s="1"/>
      <c r="H41" s="49"/>
      <c r="I41" s="92"/>
      <c r="J41" s="122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2"/>
      <c r="L42" t="s">
        <v>46</v>
      </c>
      <c r="N42" s="70" t="s">
        <v>276</v>
      </c>
      <c r="O42" s="72" t="s">
        <v>269</v>
      </c>
      <c r="P42" t="s">
        <v>167</v>
      </c>
    </row>
    <row r="43" spans="2:16" x14ac:dyDescent="0.25">
      <c r="B43" s="66" t="str">
        <f>N29</f>
        <v>IMPOIL</v>
      </c>
      <c r="D43" s="66" t="str">
        <f>N19</f>
        <v>CONMDRIVE</v>
      </c>
      <c r="E43" s="1">
        <v>2022</v>
      </c>
      <c r="F43" s="1"/>
      <c r="H43" s="49">
        <f>H29</f>
        <v>29.234999999999999</v>
      </c>
      <c r="I43" s="92">
        <f>EBF!E19</f>
        <v>8781.4640358504003</v>
      </c>
      <c r="J43" s="122">
        <v>8.76</v>
      </c>
      <c r="N43" s="70"/>
      <c r="O43" s="72"/>
    </row>
    <row r="44" spans="2:16" x14ac:dyDescent="0.25">
      <c r="B44" s="66" t="s">
        <v>265</v>
      </c>
      <c r="D44" s="66" t="str">
        <f>N20</f>
        <v>CONELC</v>
      </c>
      <c r="E44" s="1">
        <v>2022</v>
      </c>
      <c r="F44" s="1"/>
      <c r="H44" s="49">
        <f>H30</f>
        <v>100</v>
      </c>
      <c r="I44" s="92">
        <f>EBF!J19</f>
        <v>150.60848427090019</v>
      </c>
      <c r="J44" s="122">
        <v>8.76</v>
      </c>
      <c r="N44" s="70"/>
      <c r="O44" s="72"/>
    </row>
    <row r="46" spans="2:16" x14ac:dyDescent="0.25">
      <c r="B46" s="48"/>
      <c r="C46" s="1" t="s">
        <v>99</v>
      </c>
    </row>
    <row r="47" spans="2:16" x14ac:dyDescent="0.25">
      <c r="B47" s="47"/>
      <c r="C47" s="1" t="s">
        <v>100</v>
      </c>
    </row>
    <row r="49" spans="1:21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U50" s="1"/>
    </row>
    <row r="51" spans="1:21" x14ac:dyDescent="0.25">
      <c r="A51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7"/>
  <sheetViews>
    <sheetView tabSelected="1" topLeftCell="A2" zoomScale="118" zoomScaleNormal="118" workbookViewId="0">
      <selection activeCell="G25" sqref="G25:J2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EBF!D5/(DemTechs_INDF!G16*DemTechs_INDF!F36)*1000</f>
        <v>937.81659640348698</v>
      </c>
      <c r="F16" s="110">
        <v>0.44</v>
      </c>
      <c r="G16" s="111">
        <v>0.55000000000000004</v>
      </c>
      <c r="H16" s="111">
        <v>0.9</v>
      </c>
      <c r="I16" s="137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EBF!D6/(DemTechs_INDF!G17*DemTechs_INDF!F36)*1000</f>
        <v>655.38846855579084</v>
      </c>
      <c r="F17" s="110">
        <v>0.31</v>
      </c>
      <c r="G17" s="111">
        <v>0.55000000000000004</v>
      </c>
      <c r="H17" s="111">
        <v>0.9</v>
      </c>
      <c r="I17" s="137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EBF!E18/(DemTechs_INDF!G18*DemTechs_INDF!F36)*1000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0" t="s">
        <v>274</v>
      </c>
    </row>
    <row r="19" spans="2:22" s="166" customFormat="1" x14ac:dyDescent="0.25">
      <c r="B19" s="99" t="str">
        <f>P$18</f>
        <v>ELC</v>
      </c>
      <c r="C19" s="99" t="str">
        <f>PRI_Sector_Fuels!N8</f>
        <v>GRIDELC</v>
      </c>
      <c r="D19" s="167" t="str">
        <f>P$6</f>
        <v>MANELC</v>
      </c>
      <c r="E19" s="168">
        <f>EBF!K18/(DemTechs_INDF!G19*DemTechs_INDF!F36)*1000</f>
        <v>1500.3320739839382</v>
      </c>
      <c r="F19" s="169">
        <v>1</v>
      </c>
      <c r="G19" s="166">
        <v>1</v>
      </c>
      <c r="H19" s="166">
        <v>1</v>
      </c>
      <c r="I19" s="166">
        <v>50</v>
      </c>
      <c r="J19" s="166">
        <v>0</v>
      </c>
      <c r="N19" s="166" t="s">
        <v>115</v>
      </c>
      <c r="P19" s="166" t="s">
        <v>289</v>
      </c>
      <c r="Q19" s="166" t="s">
        <v>290</v>
      </c>
      <c r="R19" s="99" t="s">
        <v>167</v>
      </c>
      <c r="S19" s="99" t="s">
        <v>159</v>
      </c>
      <c r="T19" s="170" t="s">
        <v>274</v>
      </c>
    </row>
    <row r="20" spans="2:22" s="166" customFormat="1" x14ac:dyDescent="0.25">
      <c r="B20" s="99" t="str">
        <f>P18</f>
        <v>ELC</v>
      </c>
      <c r="C20" s="99" t="str">
        <f>PRI_Sector_Fuels!N9</f>
        <v>WINDELC</v>
      </c>
      <c r="D20" s="167" t="str">
        <f t="shared" ref="D20:D21" si="0">P$6</f>
        <v>MANELC</v>
      </c>
      <c r="E20" s="168">
        <v>0</v>
      </c>
      <c r="F20" s="169">
        <v>1</v>
      </c>
      <c r="G20" s="166">
        <v>1</v>
      </c>
      <c r="H20" s="166">
        <v>1</v>
      </c>
      <c r="I20" s="166">
        <v>50</v>
      </c>
      <c r="J20" s="166">
        <v>0</v>
      </c>
      <c r="N20" s="166" t="s">
        <v>115</v>
      </c>
      <c r="P20" s="166" t="s">
        <v>291</v>
      </c>
      <c r="Q20" s="166" t="s">
        <v>292</v>
      </c>
    </row>
    <row r="21" spans="2:22" s="166" customFormat="1" x14ac:dyDescent="0.25">
      <c r="B21" s="99" t="str">
        <f>P18</f>
        <v>ELC</v>
      </c>
      <c r="C21" s="99" t="str">
        <f>PRI_Sector_Fuels!N10</f>
        <v>SOLELC</v>
      </c>
      <c r="D21" s="167" t="str">
        <f t="shared" si="0"/>
        <v>MANELC</v>
      </c>
      <c r="E21" s="168">
        <v>0</v>
      </c>
      <c r="F21" s="169">
        <v>1</v>
      </c>
      <c r="G21" s="166">
        <v>1</v>
      </c>
      <c r="H21" s="166">
        <v>1</v>
      </c>
      <c r="I21" s="166">
        <v>50</v>
      </c>
      <c r="J21" s="166">
        <v>0</v>
      </c>
      <c r="N21" s="166" t="s">
        <v>115</v>
      </c>
      <c r="P21" s="95" t="s">
        <v>173</v>
      </c>
      <c r="Q21" s="166" t="s">
        <v>293</v>
      </c>
    </row>
    <row r="22" spans="2:22" s="166" customFormat="1" x14ac:dyDescent="0.25">
      <c r="B22" s="99" t="str">
        <f>P19</f>
        <v>CSP</v>
      </c>
      <c r="C22" s="99" t="str">
        <f>PRI_Sector_Fuels!N11</f>
        <v>SOLTHT</v>
      </c>
      <c r="D22" s="167" t="str">
        <f>P$5</f>
        <v>MANHEAT</v>
      </c>
      <c r="E22" s="168">
        <v>0</v>
      </c>
      <c r="F22" s="169">
        <v>1</v>
      </c>
      <c r="G22" s="166">
        <v>1</v>
      </c>
      <c r="H22" s="166">
        <v>1</v>
      </c>
      <c r="I22" s="166">
        <v>50</v>
      </c>
      <c r="J22" s="166">
        <v>0</v>
      </c>
    </row>
    <row r="23" spans="2:22" s="166" customFormat="1" x14ac:dyDescent="0.25">
      <c r="B23" s="99" t="str">
        <f>P16</f>
        <v>Kiln</v>
      </c>
      <c r="C23" s="99" t="str">
        <f>PRI_Sector_Fuels!N$12</f>
        <v>MANBIOMIN</v>
      </c>
      <c r="D23" s="167" t="str">
        <f t="shared" ref="D23:D26" si="1">P$5</f>
        <v>MANHEAT</v>
      </c>
      <c r="E23" s="168">
        <v>0</v>
      </c>
      <c r="F23" s="169">
        <v>1</v>
      </c>
      <c r="G23" s="166">
        <v>1</v>
      </c>
      <c r="H23" s="166">
        <v>1</v>
      </c>
      <c r="I23" s="166">
        <v>50</v>
      </c>
      <c r="J23" s="166">
        <v>0</v>
      </c>
    </row>
    <row r="24" spans="2:22" s="166" customFormat="1" x14ac:dyDescent="0.25">
      <c r="B24" s="99" t="str">
        <f>P17</f>
        <v>Boiler</v>
      </c>
      <c r="C24" s="99" t="str">
        <f>PRI_Sector_Fuels!N$12</f>
        <v>MANBIOMIN</v>
      </c>
      <c r="D24" s="167" t="str">
        <f t="shared" si="1"/>
        <v>MANHEAT</v>
      </c>
      <c r="E24" s="168">
        <v>0</v>
      </c>
      <c r="F24" s="169">
        <v>1</v>
      </c>
      <c r="G24" s="166">
        <v>1</v>
      </c>
      <c r="H24" s="166">
        <v>1</v>
      </c>
      <c r="I24" s="166">
        <v>50</v>
      </c>
      <c r="J24" s="166">
        <v>0</v>
      </c>
    </row>
    <row r="25" spans="2:22" s="166" customFormat="1" x14ac:dyDescent="0.25">
      <c r="B25" s="99" t="str">
        <f>P20</f>
        <v>Furnace</v>
      </c>
      <c r="C25" s="167" t="str">
        <f>P21</f>
        <v>MANELC</v>
      </c>
      <c r="D25" s="167" t="str">
        <f t="shared" si="1"/>
        <v>MANHEAT</v>
      </c>
      <c r="E25" s="168">
        <v>0</v>
      </c>
      <c r="F25" s="169">
        <v>1</v>
      </c>
      <c r="G25" s="166">
        <v>1</v>
      </c>
      <c r="H25" s="166">
        <v>1</v>
      </c>
      <c r="I25" s="166">
        <v>50</v>
      </c>
      <c r="J25" s="166">
        <v>0</v>
      </c>
    </row>
    <row r="26" spans="2:22" s="119" customFormat="1" x14ac:dyDescent="0.25">
      <c r="B26" s="171" t="s">
        <v>160</v>
      </c>
      <c r="C26" s="95" t="str">
        <f>P21</f>
        <v>MANELC</v>
      </c>
      <c r="D26" s="167" t="str">
        <f t="shared" si="1"/>
        <v>MANHEAT</v>
      </c>
      <c r="E26" s="168">
        <v>0</v>
      </c>
      <c r="F26" s="169">
        <v>1</v>
      </c>
      <c r="G26" s="166">
        <v>1</v>
      </c>
      <c r="H26" s="166">
        <v>1</v>
      </c>
      <c r="I26" s="166">
        <v>50</v>
      </c>
      <c r="J26" s="166">
        <v>0</v>
      </c>
    </row>
    <row r="27" spans="2:22" x14ac:dyDescent="0.25">
      <c r="F27" s="114"/>
    </row>
    <row r="28" spans="2:22" x14ac:dyDescent="0.25">
      <c r="F28" s="115"/>
      <c r="N28" s="93" t="s">
        <v>115</v>
      </c>
      <c r="P28" s="93" t="s">
        <v>46</v>
      </c>
      <c r="Q28" s="93" t="s">
        <v>267</v>
      </c>
      <c r="R28" s="95" t="str">
        <f t="shared" ref="R28" si="2">$E$2</f>
        <v>GWh</v>
      </c>
      <c r="S28" s="95" t="s">
        <v>159</v>
      </c>
      <c r="T28" s="160" t="s">
        <v>274</v>
      </c>
    </row>
    <row r="29" spans="2:22" x14ac:dyDescent="0.25">
      <c r="B29" s="93" t="s">
        <v>251</v>
      </c>
      <c r="C29" s="93" t="str">
        <f>PRI_Sector_Fuels!N19</f>
        <v>CONMDRIVE</v>
      </c>
      <c r="D29" s="93" t="str">
        <f>PRI_Sector_Fuels!N19</f>
        <v>CONMDRIVE</v>
      </c>
      <c r="F29" s="115">
        <v>1</v>
      </c>
      <c r="G29" s="93">
        <v>1</v>
      </c>
      <c r="N29" s="93" t="s">
        <v>115</v>
      </c>
      <c r="O29" s="119"/>
      <c r="P29" s="93" t="s">
        <v>251</v>
      </c>
      <c r="Q29" s="119" t="s">
        <v>252</v>
      </c>
      <c r="R29" s="120" t="s">
        <v>167</v>
      </c>
      <c r="S29" s="120" t="s">
        <v>159</v>
      </c>
    </row>
    <row r="30" spans="2:22" x14ac:dyDescent="0.25">
      <c r="B30" s="93" t="s">
        <v>85</v>
      </c>
      <c r="C30" s="93" t="str">
        <f>PRI_Sector_Fuels!N20</f>
        <v>CONELC</v>
      </c>
      <c r="D30" s="93" t="str">
        <f>PRI_Sector_Fuels!N20</f>
        <v>CONELC</v>
      </c>
      <c r="F30" s="115">
        <v>1</v>
      </c>
      <c r="G30" s="21">
        <v>1</v>
      </c>
      <c r="H30" s="116"/>
      <c r="N30" s="93" t="s">
        <v>115</v>
      </c>
      <c r="P30" s="93" t="s">
        <v>85</v>
      </c>
      <c r="Q30" s="93" t="s">
        <v>253</v>
      </c>
    </row>
    <row r="31" spans="2:22" x14ac:dyDescent="0.25">
      <c r="H31" s="116"/>
    </row>
    <row r="32" spans="2:22" x14ac:dyDescent="0.25">
      <c r="B32" s="112"/>
      <c r="C32" s="93" t="s">
        <v>99</v>
      </c>
      <c r="H32" s="116"/>
    </row>
    <row r="33" spans="2:8" x14ac:dyDescent="0.25">
      <c r="B33" s="117"/>
      <c r="C33" s="93" t="s">
        <v>100</v>
      </c>
      <c r="H33" s="116"/>
    </row>
    <row r="34" spans="2:8" x14ac:dyDescent="0.25">
      <c r="E34" s="93" t="s">
        <v>244</v>
      </c>
      <c r="F34" s="93" t="s">
        <v>246</v>
      </c>
      <c r="H34" s="116"/>
    </row>
    <row r="36" spans="2:8" x14ac:dyDescent="0.25">
      <c r="E36" s="93" t="s">
        <v>245</v>
      </c>
      <c r="F36" s="93">
        <f>24*365</f>
        <v>8760</v>
      </c>
    </row>
    <row r="37" spans="2:8" x14ac:dyDescent="0.25">
      <c r="E37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5"/>
    </row>
    <row r="5" spans="2:18" x14ac:dyDescent="0.25">
      <c r="C5" s="124" t="s">
        <v>13</v>
      </c>
      <c r="D5" s="124"/>
      <c r="E5" s="1"/>
    </row>
    <row r="6" spans="2:18" x14ac:dyDescent="0.25">
      <c r="B6" s="123" t="s">
        <v>185</v>
      </c>
      <c r="C6" s="123" t="s">
        <v>0</v>
      </c>
      <c r="D6" s="123" t="s">
        <v>186</v>
      </c>
      <c r="E6" s="123">
        <v>2022</v>
      </c>
      <c r="F6" s="123">
        <v>2025</v>
      </c>
      <c r="G6" s="123">
        <v>2030</v>
      </c>
      <c r="H6" s="123">
        <v>2035</v>
      </c>
      <c r="I6" s="123">
        <v>2040</v>
      </c>
      <c r="J6" s="123">
        <v>2045</v>
      </c>
      <c r="K6" s="123">
        <v>2050</v>
      </c>
      <c r="L6" s="153"/>
      <c r="M6" s="156"/>
      <c r="N6" s="130"/>
      <c r="Q6" s="124" t="s">
        <v>13</v>
      </c>
      <c r="R6" s="1"/>
    </row>
    <row r="7" spans="2:18" ht="31.2" x14ac:dyDescent="0.25">
      <c r="B7" s="126" t="s">
        <v>81</v>
      </c>
      <c r="C7" s="126" t="s">
        <v>187</v>
      </c>
      <c r="D7" s="126" t="s">
        <v>188</v>
      </c>
      <c r="E7" s="126" t="s">
        <v>189</v>
      </c>
      <c r="F7" s="126" t="s">
        <v>189</v>
      </c>
      <c r="G7" s="126" t="s">
        <v>189</v>
      </c>
      <c r="H7" s="126" t="s">
        <v>189</v>
      </c>
      <c r="I7" s="126" t="s">
        <v>189</v>
      </c>
      <c r="J7" s="126" t="s">
        <v>189</v>
      </c>
      <c r="K7" s="126" t="s">
        <v>189</v>
      </c>
      <c r="L7" s="154"/>
      <c r="M7" s="156" t="s">
        <v>273</v>
      </c>
      <c r="N7" s="131"/>
      <c r="O7" s="123" t="s">
        <v>185</v>
      </c>
      <c r="P7" s="123" t="s">
        <v>0</v>
      </c>
      <c r="Q7" s="123" t="s">
        <v>191</v>
      </c>
      <c r="R7" s="123">
        <v>2022</v>
      </c>
    </row>
    <row r="8" spans="2:18" ht="21.6" thickBot="1" x14ac:dyDescent="0.3">
      <c r="B8" s="125" t="s">
        <v>87</v>
      </c>
      <c r="C8" s="125"/>
      <c r="D8" s="125"/>
      <c r="E8" s="125" t="s">
        <v>167</v>
      </c>
      <c r="F8" s="125" t="s">
        <v>167</v>
      </c>
      <c r="G8" s="125" t="s">
        <v>167</v>
      </c>
      <c r="H8" s="125" t="s">
        <v>167</v>
      </c>
      <c r="I8" s="125" t="s">
        <v>167</v>
      </c>
      <c r="J8" s="125" t="s">
        <v>167</v>
      </c>
      <c r="K8" s="125" t="s">
        <v>167</v>
      </c>
      <c r="L8" s="154"/>
      <c r="M8" s="156"/>
      <c r="N8" s="131"/>
      <c r="O8" s="133" t="s">
        <v>81</v>
      </c>
      <c r="P8" s="133" t="s">
        <v>187</v>
      </c>
      <c r="Q8" s="133"/>
      <c r="R8" s="133"/>
    </row>
    <row r="9" spans="2:18" ht="13.8" thickBot="1" x14ac:dyDescent="0.3">
      <c r="B9" s="127" t="s">
        <v>190</v>
      </c>
      <c r="C9" s="127" t="str">
        <f>DemTechs_INDF!P5</f>
        <v>MANHEAT</v>
      </c>
      <c r="D9" s="127" t="str">
        <f>E$2</f>
        <v>GWh</v>
      </c>
      <c r="E9" s="129">
        <f>EBF!D18+EBF!E18</f>
        <v>10281.3477669522</v>
      </c>
      <c r="F9" s="129">
        <f>$E$9*(1+$M$9)^(F6-$E$6)</f>
        <v>14405.897122659175</v>
      </c>
      <c r="G9" s="129">
        <f t="shared" ref="G9:K9" si="0">$E$9*(1+$M$9)^(G6-$E$6)</f>
        <v>25274.975404905261</v>
      </c>
      <c r="H9" s="129">
        <f t="shared" si="0"/>
        <v>44344.644160602315</v>
      </c>
      <c r="I9" s="129">
        <f t="shared" si="0"/>
        <v>77802.151504717243</v>
      </c>
      <c r="J9" s="129">
        <f t="shared" si="0"/>
        <v>136502.95076988969</v>
      </c>
      <c r="K9" s="129">
        <f t="shared" si="0"/>
        <v>239492.80589955384</v>
      </c>
      <c r="M9" s="158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7" t="s">
        <v>190</v>
      </c>
      <c r="C10" s="127" t="str">
        <f>DemTechs_INDF!P6</f>
        <v>MANELC</v>
      </c>
      <c r="D10" s="127" t="str">
        <f>E$2</f>
        <v>GWh</v>
      </c>
      <c r="E10" s="129">
        <f>EBF!J18</f>
        <v>2861.5612011470998</v>
      </c>
      <c r="F10" s="129">
        <f>$E$10*(1+$M$10)^(F6-$E$6)</f>
        <v>3350.6176459935423</v>
      </c>
      <c r="G10" s="129">
        <f t="shared" ref="G10:K10" si="1">$E$10*(1+$M$10)^(G6-$E$6)</f>
        <v>4358.4084284728824</v>
      </c>
      <c r="H10" s="129">
        <f t="shared" si="1"/>
        <v>5669.320118366044</v>
      </c>
      <c r="I10" s="129">
        <f t="shared" si="1"/>
        <v>7374.5246990933629</v>
      </c>
      <c r="J10" s="129">
        <f t="shared" si="1"/>
        <v>9592.6166457525742</v>
      </c>
      <c r="K10" s="129">
        <f t="shared" si="1"/>
        <v>12477.860996747662</v>
      </c>
      <c r="M10" s="159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4">
        <v>0.75</v>
      </c>
    </row>
    <row r="11" spans="2:18" ht="13.8" thickBot="1" x14ac:dyDescent="0.3">
      <c r="B11" s="127"/>
      <c r="C11" s="127"/>
      <c r="D11" s="127"/>
      <c r="E11" s="129"/>
      <c r="F11" s="129"/>
      <c r="K11" s="5">
        <f>K9+K10</f>
        <v>251970.6668963015</v>
      </c>
      <c r="M11" s="157"/>
      <c r="O11" s="1" t="s">
        <v>192</v>
      </c>
      <c r="P11" s="1" t="str">
        <f>DemTechs_INDF!P$6</f>
        <v>MANELC</v>
      </c>
      <c r="Q11" s="93" t="s">
        <v>194</v>
      </c>
      <c r="R11" s="134">
        <v>0.25</v>
      </c>
    </row>
    <row r="12" spans="2:18" x14ac:dyDescent="0.25">
      <c r="B12" s="127"/>
      <c r="C12" s="127"/>
      <c r="D12" s="147" t="s">
        <v>271</v>
      </c>
      <c r="E12" s="146">
        <f>E10/(E$9+E$10)</f>
        <v>0.21772662415091906</v>
      </c>
      <c r="F12" s="146">
        <f>F10/(F$9+F$10)</f>
        <v>0.18869793366819429</v>
      </c>
      <c r="G12" s="146">
        <f t="shared" ref="G12:K12" si="2">G10/(G$9+G$10)</f>
        <v>0.14707764907913431</v>
      </c>
      <c r="H12" s="146">
        <f t="shared" si="2"/>
        <v>0.11335474402196269</v>
      </c>
      <c r="I12" s="146">
        <f t="shared" si="2"/>
        <v>8.6579155559529136E-2</v>
      </c>
      <c r="J12" s="146">
        <f t="shared" si="2"/>
        <v>6.5659874665886034E-2</v>
      </c>
      <c r="K12" s="146">
        <f t="shared" si="2"/>
        <v>4.9521085729724738E-2</v>
      </c>
      <c r="M12" s="157"/>
      <c r="N12" s="5"/>
      <c r="O12" s="1" t="s">
        <v>192</v>
      </c>
      <c r="P12" s="1" t="str">
        <f>DemTechs_INDF!P$6</f>
        <v>MANELC</v>
      </c>
      <c r="Q12" s="93" t="s">
        <v>195</v>
      </c>
      <c r="R12" s="134">
        <v>1.0416666666666666E-2</v>
      </c>
    </row>
    <row r="13" spans="2:18" x14ac:dyDescent="0.25">
      <c r="B13" s="1"/>
      <c r="D13" t="s">
        <v>272</v>
      </c>
      <c r="E13" s="146">
        <f>E9/(E$9+E$10)</f>
        <v>0.78227337584908085</v>
      </c>
      <c r="F13" s="146">
        <f>F9/(F$9+F$10)</f>
        <v>0.81130206633180579</v>
      </c>
      <c r="G13" s="146">
        <f t="shared" ref="G13:K13" si="3">G9/(G$9+G$10)</f>
        <v>0.85292235092086577</v>
      </c>
      <c r="H13" s="146">
        <f t="shared" si="3"/>
        <v>0.88664525597803734</v>
      </c>
      <c r="I13" s="146">
        <f t="shared" si="3"/>
        <v>0.91342084444047078</v>
      </c>
      <c r="J13" s="146">
        <f t="shared" si="3"/>
        <v>0.93434012533411404</v>
      </c>
      <c r="K13" s="146">
        <f t="shared" si="3"/>
        <v>0.95047891427027531</v>
      </c>
      <c r="M13" s="157"/>
      <c r="O13" s="1" t="s">
        <v>192</v>
      </c>
      <c r="P13" s="1" t="str">
        <f>DemTechs_INDF!P$6</f>
        <v>MANELC</v>
      </c>
      <c r="Q13" s="135" t="s">
        <v>196</v>
      </c>
      <c r="R13" s="136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4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4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4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6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4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4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4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6">
        <v>1.0416666666666666E-2</v>
      </c>
    </row>
    <row r="22" spans="2:18" x14ac:dyDescent="0.25">
      <c r="B22" s="128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4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4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4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6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4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4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4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6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4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4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4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6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4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4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4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6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4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4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4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6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4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4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4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6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4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4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4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6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4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4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4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6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4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4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4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6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4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4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8" t="s">
        <v>262</v>
      </c>
      <c r="C3" s="138"/>
      <c r="D3" s="138"/>
      <c r="E3" s="138"/>
      <c r="F3" s="138"/>
      <c r="G3" s="138"/>
      <c r="H3" s="138"/>
    </row>
    <row r="4" spans="2:9" ht="17.399999999999999" customHeight="1" x14ac:dyDescent="0.3">
      <c r="B4" s="139"/>
      <c r="C4" s="139"/>
      <c r="D4" s="139"/>
      <c r="E4" s="139"/>
      <c r="F4" s="139"/>
      <c r="G4" s="139"/>
    </row>
    <row r="5" spans="2:9" ht="17.399999999999999" x14ac:dyDescent="0.3">
      <c r="B5" s="140" t="s">
        <v>263</v>
      </c>
      <c r="C5" s="141"/>
    </row>
    <row r="6" spans="2:9" ht="13.8" thickBot="1" x14ac:dyDescent="0.3">
      <c r="B6" s="142" t="s">
        <v>0</v>
      </c>
      <c r="C6" s="142" t="str">
        <f>PRI_Sector_Fuels!N5</f>
        <v>MANCOALMIN</v>
      </c>
      <c r="D6" s="142" t="str">
        <f>PRI_Sector_Fuels!N6</f>
        <v>MANCOALIMP</v>
      </c>
      <c r="E6" s="142" t="str">
        <f>PRI_Sector_Fuels!N7</f>
        <v>MANOILIMP</v>
      </c>
      <c r="F6" s="142" t="str">
        <f>PRI_Sector_Fuels!N8</f>
        <v>GRIDELC</v>
      </c>
      <c r="G6" s="142"/>
      <c r="H6" s="142"/>
      <c r="I6" s="1"/>
    </row>
    <row r="7" spans="2:9" ht="13.8" thickBot="1" x14ac:dyDescent="0.3">
      <c r="B7" s="143" t="s">
        <v>87</v>
      </c>
      <c r="C7" s="143" t="s">
        <v>264</v>
      </c>
      <c r="D7" s="143" t="s">
        <v>264</v>
      </c>
      <c r="E7" s="143" t="s">
        <v>264</v>
      </c>
      <c r="F7" s="143" t="s">
        <v>264</v>
      </c>
      <c r="G7" s="143"/>
      <c r="H7" s="143"/>
      <c r="I7" s="1"/>
    </row>
    <row r="8" spans="2:9" x14ac:dyDescent="0.25">
      <c r="B8" s="144" t="str">
        <f>DemTechs_INDF!P7</f>
        <v>MANCO2</v>
      </c>
      <c r="C8" s="145">
        <v>347494</v>
      </c>
      <c r="D8" s="145">
        <v>347494</v>
      </c>
      <c r="E8" s="145">
        <v>279515</v>
      </c>
      <c r="F8" s="145">
        <v>0</v>
      </c>
      <c r="G8" s="145"/>
      <c r="H8" s="145"/>
      <c r="I8" s="1"/>
    </row>
    <row r="23" spans="2:3" x14ac:dyDescent="0.25">
      <c r="B23" s="128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2025-10-21T16:39:20Z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