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FCEE04F2-6E46-4621-BB28-DC007022EBD0}" xr6:coauthVersionLast="47" xr6:coauthVersionMax="47" xr10:uidLastSave="{00000000-0000-0000-0000-000000000000}"/>
  <bookViews>
    <workbookView xWindow="28680" yWindow="-120" windowWidth="29040" windowHeight="15720" tabRatio="890" activeTab="5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45" l="1"/>
  <c r="F13" i="145"/>
  <c r="F12" i="145"/>
  <c r="E13" i="145"/>
  <c r="E12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C9" i="145" l="1"/>
  <c r="C24" i="137" l="1"/>
  <c r="D19" i="143"/>
  <c r="D18" i="143"/>
  <c r="D17" i="143"/>
  <c r="D16" i="143"/>
  <c r="E6" i="146"/>
  <c r="F6" i="146"/>
  <c r="D6" i="146"/>
  <c r="C6" i="146"/>
  <c r="I18" i="143"/>
  <c r="I17" i="143"/>
  <c r="H17" i="143"/>
  <c r="H18" i="143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7" i="143"/>
  <c r="I16" i="143"/>
  <c r="C10" i="145" l="1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I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R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21" i="143"/>
  <c r="K29" i="145" l="1"/>
  <c r="K45" i="145"/>
  <c r="K12" i="145"/>
  <c r="K15" i="145"/>
  <c r="K31" i="145"/>
  <c r="K14" i="145"/>
  <c r="K32" i="145"/>
  <c r="K48" i="145"/>
  <c r="K17" i="145"/>
  <c r="K49" i="145"/>
  <c r="K38" i="145"/>
  <c r="K23" i="145"/>
  <c r="K40" i="145"/>
  <c r="K25" i="145"/>
  <c r="K42" i="145"/>
  <c r="K27" i="145"/>
  <c r="K28" i="145"/>
  <c r="K30" i="145"/>
  <c r="K46" i="145"/>
  <c r="K13" i="145"/>
  <c r="K47" i="145"/>
  <c r="K16" i="145"/>
  <c r="K10" i="145"/>
  <c r="K33" i="145"/>
  <c r="K54" i="145"/>
  <c r="K55" i="145"/>
  <c r="K56" i="145"/>
  <c r="K41" i="145"/>
  <c r="K58" i="145"/>
  <c r="K59" i="145"/>
  <c r="K60" i="145"/>
  <c r="K18" i="145"/>
  <c r="K34" i="145"/>
  <c r="K50" i="145"/>
  <c r="K19" i="145"/>
  <c r="K35" i="145"/>
  <c r="K51" i="145"/>
  <c r="K20" i="145"/>
  <c r="K36" i="145"/>
  <c r="K52" i="145"/>
  <c r="K21" i="145"/>
  <c r="K37" i="145"/>
  <c r="K53" i="145"/>
  <c r="K22" i="145"/>
  <c r="K39" i="145"/>
  <c r="K24" i="145"/>
  <c r="K57" i="145"/>
  <c r="K26" i="145"/>
  <c r="K43" i="145"/>
  <c r="K44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<sst xmlns="http://schemas.openxmlformats.org/spreadsheetml/2006/main" count="628" uniqueCount="279">
  <si>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</si>
  <si>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</si>
  <si>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</si>
  <si>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</si>
  <si>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</si>
  <si>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</si>
  <si>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</si>
  <si>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</si>
  <si>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</si>
  <si>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</si>
  <si>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</si>
  <si>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</si>
  <si>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</si>
  <si>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</si>
  <si>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</si>
  <si>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</si>
  <si>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</si>
  <si>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</si>
  <si>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</si>
  <si>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</si>
  <si>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</si>
  <si>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</si>
  <si>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</si>
  <si>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</si>
  <si>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</si>
  <si>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</si>
  <si>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</si>
  <si>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</si>
  <si>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</si>
  <si>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</si>
  <si>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</si>
  <si>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</si>
  <si>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</si>
  <si>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</si>
  <si>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</si>
  <si>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</si>
  <si>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</si>
  <si>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</si>
  <si>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</si>
  <si>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</si>
  <si>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</si>
  <si>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</si>
  <si>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</si>
  <si>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</si>
  <si>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</si>
  <si>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</si>
  <si>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</si>
  <si>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</si>
  <si>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</si>
  <si>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</si>
  <si>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</si>
  <si>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</si>
  <si>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</si>
  <si>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</si>
  <si>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</si>
  <si>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</si>
  <si>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</si>
  <si>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</si>
  <si>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</si>
  <si>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</si>
  <si>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</si>
  <si>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</si>
  <si>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</si>
  <si>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</si>
  <si>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</si>
  <si>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</si>
  <si>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</si>
  <si>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</si>
  <si>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</si>
  <si>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</si>
  <si>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</si>
  <si>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</si>
  <si>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</si>
  <si>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</si>
  <si>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</si>
  <si>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</si>
  <si>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</si>
  <si>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</si>
  <si>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</si>
  <si>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</si>
  <si>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</si>
  <si>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</si>
  <si>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</si>
  <si>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</si>
  <si>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</si>
  <si>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</si>
  <si>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</si>
  <si>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</si>
  <si>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</si>
  <si>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</si>
  <si>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</si>
  <si>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</si>
  <si>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</si>
  <si>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</si>
  <si>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</si>
  <si>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</si>
  <si>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</si>
  <si>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</si>
  <si>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</si>
  <si>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</si>
  <si>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</si>
  <si>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</si>
  <si>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</si>
  <si>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</si>
  <si>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</si>
  <si>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</si>
  <si>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</si>
  <si>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</si>
  <si>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</si>
  <si>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</si>
  <si>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</si>
  <si>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</si>
  <si>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</si>
  <si>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</si>
  <si>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</si>
  <si>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</si>
  <si>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</si>
  <si>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</si>
  <si>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</si>
  <si>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</si>
  <si>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</si>
  <si>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</si>
  <si>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</si>
  <si>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</si>
  <si>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</si>
  <si>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</si>
  <si>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</si>
  <si>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</si>
  <si>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</si>
  <si>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</si>
  <si>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</si>
  <si>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</si>
  <si>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</si>
  <si>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</si>
  <si>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</si>
  <si>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</si>
  <si>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</si>
  <si>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</si>
  <si>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</si>
  <si>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</si>
  <si>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</si>
  <si>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</si>
  <si>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</si>
  <si>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</si>
  <si>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</si>
  <si>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</si>
  <si>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</si>
  <si>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</si>
  <si>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</si>
  <si>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</si>
  <si>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</si>
  <si>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</si>
  <si>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</si>
  <si>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</si>
  <si>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</si>
  <si>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</si>
  <si>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</si>
  <si>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</si>
  <si>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</si>
  <si>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</si>
  <si>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</si>
  <si>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</si>
  <si>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</si>
  <si>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</si>
  <si>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</si>
  <si>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</si>
  <si>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</si>
  <si>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</si>
  <si>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</si>
  <si>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</si>
  <si>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</si>
  <si>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</si>
  <si>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</si>
  <si>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</si>
  <si>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</si>
  <si>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</si>
  <si>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</si>
  <si>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</si>
  <si>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</si>
  <si>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</si>
  <si>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</si>
  <si>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</si>
  <si>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</si>
  <si>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</si>
  <si>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</si>
  <si>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</si>
  <si>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</si>
  <si>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</si>
  <si>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</si>
  <si>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</si>
  <si>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</si>
  <si>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</si>
  <si>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</si>
  <si>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</si>
  <si>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</si>
  <si>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</si>
  <si>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</si>
  <si>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</si>
  <si>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</si>
  <si>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</si>
  <si>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</si>
  <si>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</si>
  <si>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</si>
  <si>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</si>
  <si>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</si>
  <si>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</si>
  <si>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</si>
  <si>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</si>
  <si>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</si>
  <si>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</si>
  <si>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</si>
  <si>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</si>
  <si>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</si>
  <si>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</si>
  <si>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</si>
  <si>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</si>
  <si>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</si>
  <si>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</si>
  <si>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</si>
  <si>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</si>
  <si>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</si>
  <si>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</si>
  <si>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</si>
  <si>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</si>
  <si>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</si>
  <si>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</si>
  <si>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</si>
  <si>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</si>
  <si>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</si>
  <si>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</si>
  <si>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</si>
  <si>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</si>
  <si>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</si>
  <si>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</si>
  <si>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</si>
  <si>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</si>
  <si>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</si>
  <si>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</si>
  <si>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</si>
  <si>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</si>
  <si>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</si>
  <si>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</si>
  <si>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</si>
  <si>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</si>
  <si>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</si>
  <si>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</si>
  <si>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</si>
  <si>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</si>
  <si>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</si>
  <si>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</si>
  <si>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</si>
  <si>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</si>
  <si>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</si>
  <si>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</si>
  <si>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</si>
  <si>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</si>
  <si>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</si>
  <si>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</si>
  <si>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</si>
  <si>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</si>
  <si>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</si>
  <si>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</si>
  <si>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</si>
  <si>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</si>
  <si>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</si>
  <si>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</si>
  <si>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</si>
  <si>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</si>
  <si>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</si>
  <si>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</si>
  <si>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</si>
  <si>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</si>
  <si>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</si>
  <si>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ELCRNW</t>
  </si>
  <si>
    <t>GRID</t>
  </si>
  <si>
    <t>Grid electricity</t>
  </si>
  <si>
    <t>Manufacturing ElectricitySupply-ELC</t>
  </si>
  <si>
    <t>Electricity share</t>
  </si>
  <si>
    <t>Fossil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</si>
</sst>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4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21561</xdr:rowOff>
    </xdr:from>
    <xdr:to>
      <xdr:col>7</xdr:col>
      <xdr:colOff>931427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411804" y="3190942"/>
          <a:ext cx="2762588" cy="918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demand value at 2050 is the average value of the energy demand projaction of Asfaw for 2048 and 2050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E21" sqref="E2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1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21">
        <f>D18/(D18+E18)</f>
        <v>0.7466168572973132</v>
      </c>
      <c r="E46" s="121"/>
      <c r="K46" s="127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1">
        <f>E18/(D18+E18)</f>
        <v>0.25338314270268686</v>
      </c>
      <c r="J47" s="121"/>
      <c r="K47" s="127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1">
        <v>1</v>
      </c>
      <c r="K48" s="127">
        <f>SUM(D48:J48)</f>
        <v>1</v>
      </c>
      <c r="L48" t="s">
        <v>173</v>
      </c>
    </row>
    <row r="49" spans="10:11" x14ac:dyDescent="0.25">
      <c r="J49" s="121"/>
      <c r="K49" s="127"/>
    </row>
    <row r="50" spans="10:11" x14ac:dyDescent="0.25">
      <c r="J50" s="121"/>
      <c r="K50" s="127"/>
    </row>
    <row r="51" spans="10:11" x14ac:dyDescent="0.25">
      <c r="J51" s="121"/>
      <c r="K51" s="127"/>
    </row>
    <row r="52" spans="10:11" x14ac:dyDescent="0.25">
      <c r="J52" s="121"/>
      <c r="K52" s="127"/>
    </row>
    <row r="53" spans="10:11" x14ac:dyDescent="0.25">
      <c r="J53" s="121"/>
      <c r="K53" s="127"/>
    </row>
    <row r="54" spans="10:11" x14ac:dyDescent="0.25">
      <c r="J54" s="121"/>
      <c r="K54" s="127"/>
    </row>
    <row r="55" spans="10:11" x14ac:dyDescent="0.25">
      <c r="J55" s="121"/>
      <c r="K55" s="127"/>
    </row>
    <row r="56" spans="10:11" x14ac:dyDescent="0.25">
      <c r="J56" s="121"/>
      <c r="K56" s="127"/>
    </row>
    <row r="57" spans="10:11" x14ac:dyDescent="0.25">
      <c r="J57" s="121"/>
      <c r="K57" s="127"/>
    </row>
    <row r="58" spans="10:11" x14ac:dyDescent="0.25">
      <c r="J58" s="121"/>
      <c r="K58" s="127"/>
    </row>
    <row r="59" spans="10:11" x14ac:dyDescent="0.25">
      <c r="J59" s="121"/>
      <c r="K59" s="127"/>
    </row>
    <row r="60" spans="10:11" x14ac:dyDescent="0.25">
      <c r="J60" s="121"/>
      <c r="K60" s="127"/>
    </row>
    <row r="61" spans="10:11" x14ac:dyDescent="0.25">
      <c r="J61" s="121"/>
      <c r="K61" s="127"/>
    </row>
    <row r="62" spans="10:11" x14ac:dyDescent="0.25">
      <c r="J62" s="121"/>
      <c r="K62" s="127"/>
    </row>
    <row r="63" spans="10:11" x14ac:dyDescent="0.25">
      <c r="J63" s="121"/>
      <c r="K63" s="127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I15" sqref="I15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8"/>
      <c r="E11" s="138">
        <f>'EBF TJ'!E11*0.2777778</f>
        <v>-2.0000001600000004</v>
      </c>
      <c r="F11" s="138">
        <f>'EBF TJ'!F11*0.2777778</f>
        <v>-16770.812452776001</v>
      </c>
      <c r="G11" s="138"/>
      <c r="H11" s="138"/>
      <c r="I11" s="138"/>
      <c r="J11" s="138"/>
      <c r="K11" s="138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TJ'!D18*0.2777778</f>
        <v>7676.2275585426005</v>
      </c>
      <c r="E18" s="32">
        <f>'EBF TJ'!E18*0.2777778</f>
        <v>2605.1202084096003</v>
      </c>
      <c r="F18" s="32">
        <f>'EBF TJ'!F18*0.2777778</f>
        <v>0</v>
      </c>
      <c r="G18" s="32">
        <f>'EBF TJ'!G18*0.2777778</f>
        <v>0</v>
      </c>
      <c r="H18" s="32">
        <f>'EBF TJ'!H18*0.2777778</f>
        <v>0</v>
      </c>
      <c r="I18" s="32">
        <f>'EBF TJ'!I18*0.2777778</f>
        <v>0</v>
      </c>
      <c r="J18" s="32">
        <f>'EBF TJ'!J18*0.2777778</f>
        <v>2861.5612011470998</v>
      </c>
      <c r="K18" s="34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1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21">
        <f>D18/(D18+E18)</f>
        <v>0.7466168572973132</v>
      </c>
      <c r="E46" s="121"/>
      <c r="K46" s="127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1">
        <f>E18/(D18+E18)</f>
        <v>0.25338314270268686</v>
      </c>
      <c r="J47" s="121"/>
      <c r="K47" s="127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1">
        <v>1</v>
      </c>
      <c r="K48" s="127">
        <f>SUM(D48:J48)</f>
        <v>1</v>
      </c>
      <c r="L48" t="s">
        <v>173</v>
      </c>
    </row>
    <row r="49" spans="10:11" x14ac:dyDescent="0.25">
      <c r="J49" s="121"/>
      <c r="K49" s="127"/>
    </row>
    <row r="50" spans="10:11" x14ac:dyDescent="0.25">
      <c r="J50" s="121"/>
      <c r="K50" s="127"/>
    </row>
    <row r="51" spans="10:11" x14ac:dyDescent="0.25">
      <c r="J51" s="121"/>
      <c r="K51" s="127"/>
    </row>
    <row r="52" spans="10:11" x14ac:dyDescent="0.25">
      <c r="J52" s="121"/>
      <c r="K52" s="127"/>
    </row>
    <row r="53" spans="10:11" x14ac:dyDescent="0.25">
      <c r="J53" s="121"/>
      <c r="K53" s="127"/>
    </row>
    <row r="54" spans="10:11" x14ac:dyDescent="0.25">
      <c r="J54" s="121"/>
      <c r="K54" s="127"/>
    </row>
    <row r="55" spans="10:11" x14ac:dyDescent="0.25">
      <c r="J55" s="121"/>
      <c r="K55" s="127"/>
    </row>
    <row r="56" spans="10:11" x14ac:dyDescent="0.25">
      <c r="J56" s="121"/>
      <c r="K56" s="127"/>
    </row>
    <row r="57" spans="10:11" x14ac:dyDescent="0.25">
      <c r="J57" s="121"/>
      <c r="K57" s="127"/>
    </row>
    <row r="58" spans="10:11" x14ac:dyDescent="0.25">
      <c r="J58" s="121"/>
      <c r="K58" s="127"/>
    </row>
    <row r="59" spans="10:11" x14ac:dyDescent="0.25">
      <c r="J59" s="121"/>
      <c r="K59" s="127"/>
    </row>
    <row r="60" spans="10:11" x14ac:dyDescent="0.25">
      <c r="J60" s="121"/>
      <c r="K60" s="127"/>
    </row>
    <row r="61" spans="10:11" x14ac:dyDescent="0.25">
      <c r="J61" s="121"/>
      <c r="K61" s="127"/>
    </row>
    <row r="62" spans="10:11" x14ac:dyDescent="0.25">
      <c r="J62" s="121"/>
      <c r="K62" s="127"/>
    </row>
    <row r="63" spans="10:11" x14ac:dyDescent="0.25">
      <c r="J63" s="121"/>
      <c r="K63" s="127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A9" zoomScale="142" zoomScaleNormal="142" workbookViewId="0">
      <selection activeCell="I22" sqref="I22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" t="s">
        <v>46</v>
      </c>
      <c r="D4" s="1" t="s">
        <v>271</v>
      </c>
      <c r="E4" s="81" t="s">
        <v>169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176</v>
      </c>
      <c r="P5" s="66" t="s">
        <v>169</v>
      </c>
      <c r="Q5" s="66" t="s">
        <v>182</v>
      </c>
      <c r="R5" s="66"/>
      <c r="S5" s="66"/>
      <c r="T5" s="66" t="s">
        <v>183</v>
      </c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177</v>
      </c>
      <c r="P6" s="66" t="s">
        <v>169</v>
      </c>
      <c r="Q6" s="66" t="s">
        <v>182</v>
      </c>
      <c r="R6" s="66"/>
      <c r="S6" s="66"/>
      <c r="T6" s="66" t="s">
        <v>183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6" t="s">
        <v>74</v>
      </c>
      <c r="M7" s="70"/>
      <c r="N7" s="66" t="s">
        <v>174</v>
      </c>
      <c r="O7" s="66" t="s">
        <v>178</v>
      </c>
      <c r="P7" s="66" t="s">
        <v>169</v>
      </c>
      <c r="Q7" s="66" t="s">
        <v>182</v>
      </c>
      <c r="R7" s="66"/>
      <c r="S7" s="66"/>
      <c r="T7" s="66" t="s">
        <v>183</v>
      </c>
    </row>
    <row r="8" spans="2:20" x14ac:dyDescent="0.25">
      <c r="L8" s="66" t="s">
        <v>74</v>
      </c>
      <c r="M8" s="70"/>
      <c r="N8" s="66" t="s">
        <v>273</v>
      </c>
      <c r="O8" s="66" t="s">
        <v>266</v>
      </c>
      <c r="P8" s="66" t="s">
        <v>169</v>
      </c>
      <c r="Q8" s="66" t="s">
        <v>182</v>
      </c>
      <c r="R8" s="66"/>
      <c r="S8" s="66"/>
      <c r="T8" s="66" t="s">
        <v>46</v>
      </c>
    </row>
    <row r="10" spans="2:20" x14ac:dyDescent="0.25">
      <c r="L10" s="66" t="s">
        <v>82</v>
      </c>
      <c r="M10" s="70"/>
      <c r="N10" s="66" t="s">
        <v>180</v>
      </c>
      <c r="O10" s="66" t="s">
        <v>262</v>
      </c>
      <c r="P10" s="66" t="s">
        <v>169</v>
      </c>
      <c r="Q10" s="66" t="s">
        <v>182</v>
      </c>
      <c r="R10" s="66"/>
      <c r="S10" s="66"/>
      <c r="T10" s="66" t="s">
        <v>183</v>
      </c>
    </row>
    <row r="11" spans="2:20" x14ac:dyDescent="0.25">
      <c r="L11" s="66" t="s">
        <v>82</v>
      </c>
      <c r="M11" s="70"/>
      <c r="N11" s="66" t="s">
        <v>175</v>
      </c>
      <c r="O11" s="66" t="s">
        <v>261</v>
      </c>
      <c r="P11" s="66" t="s">
        <v>169</v>
      </c>
      <c r="Q11" s="66" t="s">
        <v>182</v>
      </c>
      <c r="R11" s="66"/>
      <c r="S11" s="66"/>
      <c r="T11" s="66" t="s">
        <v>46</v>
      </c>
    </row>
    <row r="12" spans="2:20" x14ac:dyDescent="0.25">
      <c r="L12" s="66" t="s">
        <v>74</v>
      </c>
      <c r="M12" s="70"/>
      <c r="N12" s="66" t="s">
        <v>250</v>
      </c>
      <c r="O12" s="66" t="s">
        <v>257</v>
      </c>
      <c r="P12" s="66" t="s">
        <v>169</v>
      </c>
      <c r="Q12" s="66" t="s">
        <v>182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258</v>
      </c>
      <c r="O13" s="66" t="s">
        <v>259</v>
      </c>
      <c r="P13" s="66" t="s">
        <v>169</v>
      </c>
      <c r="Q13" s="66" t="s">
        <v>182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251</v>
      </c>
      <c r="O14" s="66" t="s">
        <v>260</v>
      </c>
      <c r="P14" s="66" t="s">
        <v>169</v>
      </c>
      <c r="Q14" s="66" t="s">
        <v>182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170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171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246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8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169</v>
      </c>
      <c r="Q21" s="70"/>
      <c r="R21" s="70"/>
      <c r="S21" s="70"/>
      <c r="T21" s="70"/>
    </row>
    <row r="22" spans="2:20" x14ac:dyDescent="0.25">
      <c r="B22" s="66" t="str">
        <f t="shared" ref="B22:B23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8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169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8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169</v>
      </c>
    </row>
    <row r="24" spans="2:20" x14ac:dyDescent="0.25">
      <c r="B24" s="66" t="s">
        <v>46</v>
      </c>
      <c r="C24" s="70" t="str">
        <f>N8</f>
        <v>ELCRNW</v>
      </c>
      <c r="D24" s="66" t="s">
        <v>175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8">
        <v>8.76</v>
      </c>
      <c r="L24" t="s">
        <v>274</v>
      </c>
      <c r="N24" s="70" t="s">
        <v>46</v>
      </c>
      <c r="O24" s="72" t="s">
        <v>275</v>
      </c>
      <c r="P24" t="s">
        <v>169</v>
      </c>
    </row>
    <row r="25" spans="2:20" x14ac:dyDescent="0.25">
      <c r="B25" s="66"/>
      <c r="D25" s="66"/>
      <c r="E25" s="1"/>
      <c r="F25" s="1"/>
      <c r="H25" s="49"/>
      <c r="I25" s="92"/>
      <c r="J25" s="128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8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8">
        <v>8.76</v>
      </c>
      <c r="N27" s="70"/>
      <c r="O27" s="72"/>
    </row>
    <row r="28" spans="2:20" x14ac:dyDescent="0.25">
      <c r="B28" s="66" t="s">
        <v>270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8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opLeftCell="A4" zoomScale="118" zoomScaleNormal="118" workbookViewId="0">
      <selection activeCell="I16" sqref="I16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16.109375" style="93" bestFit="1" customWidth="1"/>
    <col min="9" max="9" width="16.109375" style="93" customWidth="1"/>
    <col min="10" max="10" width="7.88671875" style="93" bestFit="1" customWidth="1"/>
    <col min="11" max="11" width="8.109375" style="93" customWidth="1"/>
    <col min="12" max="12" width="9.5546875" style="93" bestFit="1" customWidth="1"/>
    <col min="13" max="15" width="8.109375" style="93" customWidth="1"/>
    <col min="16" max="16" width="12.6640625" style="93" bestFit="1" customWidth="1"/>
    <col min="17" max="17" width="7.109375" style="93" customWidth="1"/>
    <col min="18" max="18" width="11.44140625" style="93" bestFit="1" customWidth="1"/>
    <col min="19" max="19" width="63.88671875" style="93" bestFit="1" customWidth="1"/>
    <col min="20" max="20" width="8.21875" style="93" bestFit="1" customWidth="1"/>
    <col min="21" max="21" width="11.6640625" style="93" customWidth="1"/>
    <col min="22" max="22" width="13.44140625" style="93" customWidth="1"/>
    <col min="23" max="23" width="13.88671875" style="93" customWidth="1"/>
    <col min="24" max="24" width="8.44140625" style="93" customWidth="1"/>
    <col min="25" max="16384" width="8.88671875" style="93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4" t="s">
        <v>14</v>
      </c>
      <c r="Q2" s="94"/>
      <c r="R2" s="95"/>
      <c r="S2" s="95"/>
      <c r="T2" s="95"/>
      <c r="U2" s="95"/>
      <c r="V2" s="95"/>
      <c r="W2" s="95"/>
      <c r="X2" s="95"/>
    </row>
    <row r="3" spans="2:24" x14ac:dyDescent="0.25">
      <c r="P3" s="96" t="s">
        <v>7</v>
      </c>
      <c r="Q3" s="97" t="s">
        <v>30</v>
      </c>
      <c r="R3" s="96" t="s">
        <v>0</v>
      </c>
      <c r="S3" s="96" t="s">
        <v>3</v>
      </c>
      <c r="T3" s="96" t="s">
        <v>4</v>
      </c>
      <c r="U3" s="96" t="s">
        <v>8</v>
      </c>
      <c r="V3" s="96" t="s">
        <v>9</v>
      </c>
      <c r="W3" s="96" t="s">
        <v>10</v>
      </c>
      <c r="X3" s="96" t="s">
        <v>12</v>
      </c>
    </row>
    <row r="4" spans="2:24" ht="22.2" thickBot="1" x14ac:dyDescent="0.35">
      <c r="B4" s="53"/>
      <c r="C4" s="53"/>
      <c r="D4" s="53"/>
      <c r="E4" s="53"/>
      <c r="F4" s="53"/>
      <c r="G4" s="53"/>
      <c r="H4" s="53"/>
      <c r="I4" s="53"/>
      <c r="P4" s="98" t="s">
        <v>37</v>
      </c>
      <c r="Q4" s="98" t="s">
        <v>31</v>
      </c>
      <c r="R4" s="98" t="s">
        <v>26</v>
      </c>
      <c r="S4" s="98" t="s">
        <v>27</v>
      </c>
      <c r="T4" s="98" t="s">
        <v>4</v>
      </c>
      <c r="U4" s="98" t="s">
        <v>40</v>
      </c>
      <c r="V4" s="98" t="s">
        <v>41</v>
      </c>
      <c r="W4" s="98" t="s">
        <v>28</v>
      </c>
      <c r="X4" s="98" t="s">
        <v>29</v>
      </c>
    </row>
    <row r="5" spans="2:24" ht="15.6" x14ac:dyDescent="0.3">
      <c r="B5" s="53"/>
      <c r="C5" s="53"/>
      <c r="D5" s="53"/>
      <c r="E5" s="53"/>
      <c r="F5" s="53"/>
      <c r="G5" s="53"/>
      <c r="H5" s="53"/>
      <c r="I5" s="53"/>
      <c r="P5" s="95" t="s">
        <v>82</v>
      </c>
      <c r="Q5" s="95"/>
      <c r="R5" s="95" t="s">
        <v>180</v>
      </c>
      <c r="S5" s="95" t="s">
        <v>181</v>
      </c>
      <c r="T5" s="95" t="s">
        <v>169</v>
      </c>
      <c r="U5" s="95" t="s">
        <v>182</v>
      </c>
      <c r="V5" s="95"/>
      <c r="W5" s="95"/>
      <c r="X5" s="95" t="s">
        <v>183</v>
      </c>
    </row>
    <row r="6" spans="2:24" ht="15.6" x14ac:dyDescent="0.3">
      <c r="B6" s="53"/>
      <c r="C6" s="53"/>
      <c r="D6" s="53"/>
      <c r="E6" s="53"/>
      <c r="F6" s="53"/>
      <c r="G6" s="53"/>
      <c r="H6" s="53"/>
      <c r="I6" s="53"/>
      <c r="P6" s="95" t="s">
        <v>82</v>
      </c>
      <c r="Q6" s="95"/>
      <c r="R6" s="95" t="s">
        <v>175</v>
      </c>
      <c r="S6" s="95" t="s">
        <v>276</v>
      </c>
      <c r="T6" s="95" t="s">
        <v>169</v>
      </c>
      <c r="U6" s="95" t="s">
        <v>182</v>
      </c>
      <c r="V6" s="95"/>
      <c r="W6" s="95"/>
      <c r="X6" s="95" t="s">
        <v>46</v>
      </c>
    </row>
    <row r="7" spans="2:24" x14ac:dyDescent="0.25">
      <c r="P7" s="95" t="s">
        <v>155</v>
      </c>
      <c r="Q7" s="95"/>
      <c r="R7" s="95" t="str">
        <f>$B$2&amp;EBF!C65</f>
        <v>MANCO2</v>
      </c>
      <c r="S7" s="95" t="str">
        <f>$C$2&amp;" "&amp;EBF!C65</f>
        <v>Manufacturing CO2</v>
      </c>
      <c r="T7" s="95" t="str">
        <f>EBF!R2</f>
        <v>kt</v>
      </c>
      <c r="U7" s="95"/>
      <c r="V7" s="95"/>
      <c r="W7" s="95"/>
      <c r="X7" s="95"/>
    </row>
    <row r="8" spans="2:24" x14ac:dyDescent="0.25">
      <c r="P8" s="95"/>
      <c r="Q8" s="95"/>
      <c r="R8" s="95"/>
      <c r="S8" s="95"/>
      <c r="T8" s="95"/>
      <c r="U8" s="95"/>
      <c r="V8" s="95"/>
      <c r="W8" s="95"/>
      <c r="X8" s="95"/>
    </row>
    <row r="9" spans="2:24" x14ac:dyDescent="0.25">
      <c r="P9" s="95" t="s">
        <v>82</v>
      </c>
      <c r="Q9" s="95"/>
      <c r="R9" s="95" t="s">
        <v>251</v>
      </c>
      <c r="S9" s="95" t="s">
        <v>253</v>
      </c>
      <c r="T9" s="95" t="s">
        <v>169</v>
      </c>
      <c r="U9" s="95" t="s">
        <v>182</v>
      </c>
      <c r="V9" s="95"/>
      <c r="W9" s="95"/>
      <c r="X9" s="95"/>
    </row>
    <row r="10" spans="2:24" x14ac:dyDescent="0.25">
      <c r="P10" s="95" t="s">
        <v>82</v>
      </c>
      <c r="Q10" s="95"/>
      <c r="R10" s="95" t="s">
        <v>250</v>
      </c>
      <c r="S10" s="95" t="s">
        <v>252</v>
      </c>
      <c r="T10" s="95" t="s">
        <v>169</v>
      </c>
      <c r="U10" s="95" t="s">
        <v>182</v>
      </c>
      <c r="V10" s="95"/>
      <c r="W10" s="95"/>
      <c r="X10" s="95"/>
    </row>
    <row r="11" spans="2:24" ht="14.4" x14ac:dyDescent="0.3">
      <c r="H11" s="99" t="s">
        <v>156</v>
      </c>
      <c r="I11" s="99"/>
    </row>
    <row r="12" spans="2:24" ht="14.4" x14ac:dyDescent="0.3">
      <c r="D12" s="3" t="s">
        <v>13</v>
      </c>
      <c r="E12" s="3"/>
      <c r="F12" s="3"/>
      <c r="H12" s="100">
        <v>0.2</v>
      </c>
      <c r="I12" s="100"/>
      <c r="J12" s="3"/>
      <c r="K12" s="101"/>
      <c r="L12" s="101"/>
      <c r="M12" s="101"/>
      <c r="N12" s="101"/>
      <c r="O12" s="101"/>
      <c r="P12" s="94" t="s">
        <v>15</v>
      </c>
      <c r="Q12" s="94"/>
      <c r="R12" s="95"/>
      <c r="S12" s="95"/>
      <c r="T12" s="95"/>
      <c r="U12" s="95"/>
      <c r="V12" s="95"/>
      <c r="W12" s="95"/>
      <c r="X12" s="95"/>
    </row>
    <row r="13" spans="2:24" ht="24" customHeight="1" x14ac:dyDescent="0.25">
      <c r="B13" s="54" t="s">
        <v>1</v>
      </c>
      <c r="C13" s="54" t="s">
        <v>5</v>
      </c>
      <c r="D13" s="54" t="s">
        <v>6</v>
      </c>
      <c r="E13" s="102" t="s">
        <v>107</v>
      </c>
      <c r="F13" s="103" t="s">
        <v>157</v>
      </c>
      <c r="G13" s="102" t="s">
        <v>108</v>
      </c>
      <c r="H13" s="103" t="s">
        <v>158</v>
      </c>
      <c r="I13" s="103" t="s">
        <v>265</v>
      </c>
      <c r="J13" s="102" t="s">
        <v>109</v>
      </c>
      <c r="K13" s="102" t="s">
        <v>110</v>
      </c>
      <c r="L13" s="102" t="s">
        <v>184</v>
      </c>
      <c r="M13" s="104" t="s">
        <v>185</v>
      </c>
      <c r="N13" s="104"/>
      <c r="O13" s="104"/>
      <c r="P13" s="96" t="s">
        <v>11</v>
      </c>
      <c r="Q13" s="97" t="s">
        <v>30</v>
      </c>
      <c r="R13" s="96" t="s">
        <v>1</v>
      </c>
      <c r="S13" s="96" t="s">
        <v>2</v>
      </c>
      <c r="T13" s="96" t="s">
        <v>16</v>
      </c>
      <c r="U13" s="96" t="s">
        <v>17</v>
      </c>
      <c r="V13" s="96" t="s">
        <v>18</v>
      </c>
      <c r="W13" s="96" t="s">
        <v>19</v>
      </c>
      <c r="X13" s="96" t="s">
        <v>20</v>
      </c>
    </row>
    <row r="14" spans="2:24" ht="21.6" thickBot="1" x14ac:dyDescent="0.3">
      <c r="B14" s="105" t="s">
        <v>39</v>
      </c>
      <c r="C14" s="105" t="s">
        <v>32</v>
      </c>
      <c r="D14" s="105" t="s">
        <v>33</v>
      </c>
      <c r="E14" s="105" t="s">
        <v>111</v>
      </c>
      <c r="F14" s="105" t="s">
        <v>159</v>
      </c>
      <c r="G14" s="105" t="s">
        <v>112</v>
      </c>
      <c r="H14" s="105" t="s">
        <v>159</v>
      </c>
      <c r="I14" s="105" t="s">
        <v>159</v>
      </c>
      <c r="J14" s="106" t="s">
        <v>113</v>
      </c>
      <c r="K14" s="105" t="s">
        <v>121</v>
      </c>
      <c r="L14" s="105" t="s">
        <v>186</v>
      </c>
      <c r="M14" s="106" t="s">
        <v>187</v>
      </c>
      <c r="N14" s="107"/>
      <c r="O14" s="107"/>
      <c r="P14" s="98" t="s">
        <v>38</v>
      </c>
      <c r="Q14" s="98" t="s">
        <v>31</v>
      </c>
      <c r="R14" s="98" t="s">
        <v>21</v>
      </c>
      <c r="S14" s="98" t="s">
        <v>22</v>
      </c>
      <c r="T14" s="98" t="s">
        <v>23</v>
      </c>
      <c r="U14" s="98" t="s">
        <v>24</v>
      </c>
      <c r="V14" s="98" t="s">
        <v>43</v>
      </c>
      <c r="W14" s="98" t="s">
        <v>42</v>
      </c>
      <c r="X14" s="98" t="s">
        <v>25</v>
      </c>
    </row>
    <row r="15" spans="2:24" ht="13.8" thickBot="1" x14ac:dyDescent="0.3">
      <c r="B15" s="108" t="s">
        <v>87</v>
      </c>
      <c r="C15" s="108"/>
      <c r="D15" s="108"/>
      <c r="E15" s="109" t="s">
        <v>263</v>
      </c>
      <c r="F15" s="109"/>
      <c r="G15" s="109"/>
      <c r="H15" s="109"/>
      <c r="I15" s="109"/>
      <c r="J15" s="110"/>
      <c r="K15" s="109" t="s">
        <v>114</v>
      </c>
      <c r="L15" s="109"/>
      <c r="M15" s="110"/>
      <c r="N15" s="111"/>
      <c r="O15" s="111"/>
      <c r="P15" s="98" t="s">
        <v>81</v>
      </c>
      <c r="Q15" s="98"/>
      <c r="R15" s="98"/>
      <c r="S15" s="98"/>
      <c r="T15" s="98"/>
      <c r="U15" s="98"/>
      <c r="V15" s="98"/>
      <c r="W15" s="98"/>
      <c r="X15" s="98"/>
    </row>
    <row r="16" spans="2:24" x14ac:dyDescent="0.25">
      <c r="B16" s="93" t="str">
        <f>R$16</f>
        <v>Kiln</v>
      </c>
      <c r="C16" s="93" t="str">
        <f>Sector_Fuels!N5</f>
        <v>MANCOALMIN</v>
      </c>
      <c r="D16" s="95" t="str">
        <f>R5</f>
        <v>MANHEAT</v>
      </c>
      <c r="E16" s="116">
        <f>EBF!D5/(DemTechs_INDF!G16*DemTechs_INDF!F29)*1000</f>
        <v>937.81659640348698</v>
      </c>
      <c r="F16" s="112">
        <v>0.44</v>
      </c>
      <c r="G16" s="113">
        <v>0.55000000000000004</v>
      </c>
      <c r="H16" s="114">
        <f>1-H17-H18</f>
        <v>0.55159999999999998</v>
      </c>
      <c r="I16" s="114">
        <f>1-I17-I18</f>
        <v>0.59128000000000003</v>
      </c>
      <c r="J16" s="113">
        <v>0.9</v>
      </c>
      <c r="K16" s="143">
        <v>30</v>
      </c>
      <c r="L16" s="115">
        <v>144094</v>
      </c>
      <c r="M16" s="115"/>
      <c r="N16" s="115"/>
      <c r="O16" s="115"/>
      <c r="P16" s="93" t="s">
        <v>115</v>
      </c>
      <c r="R16" s="93" t="s">
        <v>160</v>
      </c>
      <c r="S16" s="93" t="s">
        <v>264</v>
      </c>
      <c r="T16" s="95" t="str">
        <f>$E$2</f>
        <v>GWh</v>
      </c>
      <c r="U16" s="95" t="s">
        <v>161</v>
      </c>
      <c r="V16" s="95"/>
      <c r="W16" s="95"/>
      <c r="X16" s="95"/>
    </row>
    <row r="17" spans="2:24" x14ac:dyDescent="0.25">
      <c r="B17" s="93" t="str">
        <f>R$16</f>
        <v>Kiln</v>
      </c>
      <c r="C17" s="93" t="str">
        <f>Sector_Fuels!N6</f>
        <v>MANCOALIMP</v>
      </c>
      <c r="D17" s="95" t="str">
        <f>R5</f>
        <v>MANHEAT</v>
      </c>
      <c r="E17" s="116">
        <f>EBF!D6/(DemTechs_INDF!G17*DemTechs_INDF!F29)*1000</f>
        <v>655.38846855579084</v>
      </c>
      <c r="F17" s="112">
        <v>0.31</v>
      </c>
      <c r="G17" s="113">
        <v>0.55000000000000004</v>
      </c>
      <c r="H17" s="114">
        <f>IF(F$17=0,20%,F$17*(1-H$12)^2)</f>
        <v>0.19840000000000005</v>
      </c>
      <c r="I17" s="114">
        <f>IF(F$17=0,20%,F$17*(1-H$12)^3)</f>
        <v>0.15872000000000003</v>
      </c>
      <c r="J17" s="113">
        <v>0.9</v>
      </c>
      <c r="K17" s="143">
        <v>30</v>
      </c>
      <c r="L17" s="115">
        <v>144094</v>
      </c>
      <c r="M17" s="115"/>
      <c r="N17" s="115"/>
      <c r="O17" s="115"/>
      <c r="P17" s="93" t="s">
        <v>115</v>
      </c>
      <c r="R17" s="93" t="s">
        <v>162</v>
      </c>
      <c r="S17" s="93" t="s">
        <v>163</v>
      </c>
      <c r="T17" s="95" t="str">
        <f>$E$2</f>
        <v>GWh</v>
      </c>
      <c r="U17" s="95" t="s">
        <v>161</v>
      </c>
      <c r="V17" s="95"/>
      <c r="W17" s="95"/>
      <c r="X17" s="95"/>
    </row>
    <row r="18" spans="2:24" x14ac:dyDescent="0.25">
      <c r="B18" s="93" t="str">
        <f>R$17</f>
        <v>Boiler</v>
      </c>
      <c r="C18" s="93" t="str">
        <f>Sector_Fuels!N7</f>
        <v>MANOILIMP</v>
      </c>
      <c r="D18" s="95" t="str">
        <f>R5</f>
        <v>MANHEAT</v>
      </c>
      <c r="E18" s="116">
        <f>EBF!E18/(DemTechs_INDF!G18*DemTechs_INDF!F29)*1000</f>
        <v>396.51753552657539</v>
      </c>
      <c r="F18" s="112">
        <v>0.25</v>
      </c>
      <c r="G18" s="113">
        <v>0.75</v>
      </c>
      <c r="H18" s="114">
        <f>IF(F$18=0,20%,F$18*(1))</f>
        <v>0.25</v>
      </c>
      <c r="I18" s="114">
        <f>IF(F$18=0,20%,F$18*(1))</f>
        <v>0.25</v>
      </c>
      <c r="J18" s="116">
        <v>0.9</v>
      </c>
      <c r="K18" s="115">
        <v>30</v>
      </c>
      <c r="L18" s="115">
        <v>60000</v>
      </c>
      <c r="M18" s="115"/>
      <c r="N18" s="115"/>
      <c r="P18" s="93" t="s">
        <v>115</v>
      </c>
      <c r="R18" s="93" t="s">
        <v>46</v>
      </c>
      <c r="S18" s="93" t="s">
        <v>272</v>
      </c>
      <c r="T18" s="93" t="s">
        <v>169</v>
      </c>
      <c r="U18" s="93" t="s">
        <v>161</v>
      </c>
    </row>
    <row r="19" spans="2:24" s="122" customFormat="1" x14ac:dyDescent="0.25">
      <c r="B19" s="93" t="str">
        <f>R$21</f>
        <v>ELC</v>
      </c>
      <c r="C19" s="93" t="str">
        <f>Sector_Fuels!N8</f>
        <v>ELCRNW</v>
      </c>
      <c r="D19" s="95" t="str">
        <f>R6</f>
        <v>MANELC</v>
      </c>
      <c r="E19" s="116">
        <f>EBF!K18/(DemTechs_INDF!G19*DemTechs_INDF!F29)*1000</f>
        <v>1500.3320739839382</v>
      </c>
      <c r="F19" s="123">
        <v>1</v>
      </c>
      <c r="G19" s="122">
        <v>1</v>
      </c>
      <c r="H19" s="124">
        <v>1</v>
      </c>
      <c r="I19" s="125">
        <v>1</v>
      </c>
      <c r="J19" s="122">
        <v>1</v>
      </c>
      <c r="K19" s="122">
        <v>50</v>
      </c>
      <c r="L19" s="122">
        <v>0</v>
      </c>
    </row>
    <row r="20" spans="2:24" x14ac:dyDescent="0.25">
      <c r="F20" s="117"/>
      <c r="H20" s="117"/>
      <c r="I20" s="117"/>
    </row>
    <row r="21" spans="2:24" x14ac:dyDescent="0.25">
      <c r="F21" s="118"/>
      <c r="H21" s="118"/>
      <c r="I21" s="118"/>
      <c r="P21" s="93" t="s">
        <v>115</v>
      </c>
      <c r="R21" s="93" t="s">
        <v>46</v>
      </c>
      <c r="S21" s="93" t="s">
        <v>272</v>
      </c>
      <c r="T21" s="95" t="str">
        <f t="shared" ref="T21" si="0">$E$2</f>
        <v>GWh</v>
      </c>
      <c r="U21" s="95" t="s">
        <v>161</v>
      </c>
    </row>
    <row r="22" spans="2:24" x14ac:dyDescent="0.25">
      <c r="B22" s="93" t="s">
        <v>254</v>
      </c>
      <c r="C22" s="93" t="str">
        <f>Sector_Fuels!N13</f>
        <v>CONMDRIVE</v>
      </c>
      <c r="D22" s="93" t="str">
        <f>Sector_Fuels!N13</f>
        <v>CONMDRIVE</v>
      </c>
      <c r="F22" s="118">
        <v>1</v>
      </c>
      <c r="G22" s="93">
        <v>1</v>
      </c>
      <c r="H22" s="118"/>
      <c r="I22" s="118"/>
      <c r="P22" s="93" t="s">
        <v>115</v>
      </c>
      <c r="Q22" s="122"/>
      <c r="R22" s="93" t="s">
        <v>254</v>
      </c>
      <c r="S22" s="122" t="s">
        <v>255</v>
      </c>
      <c r="T22" s="126" t="s">
        <v>169</v>
      </c>
      <c r="U22" s="126" t="s">
        <v>161</v>
      </c>
    </row>
    <row r="23" spans="2:24" x14ac:dyDescent="0.25">
      <c r="B23" s="93" t="s">
        <v>85</v>
      </c>
      <c r="C23" s="93" t="str">
        <f>Sector_Fuels!N14</f>
        <v>CONELC</v>
      </c>
      <c r="D23" s="93" t="str">
        <f>Sector_Fuels!N14</f>
        <v>CONELC</v>
      </c>
      <c r="F23" s="118">
        <v>1</v>
      </c>
      <c r="G23" s="21">
        <v>1</v>
      </c>
      <c r="J23" s="119"/>
      <c r="P23" s="93" t="s">
        <v>115</v>
      </c>
      <c r="R23" s="93" t="s">
        <v>85</v>
      </c>
      <c r="S23" s="93" t="s">
        <v>256</v>
      </c>
    </row>
    <row r="24" spans="2:24" x14ac:dyDescent="0.25">
      <c r="J24" s="119"/>
    </row>
    <row r="25" spans="2:24" x14ac:dyDescent="0.25">
      <c r="B25" s="115"/>
      <c r="C25" s="93" t="s">
        <v>99</v>
      </c>
      <c r="J25" s="119"/>
    </row>
    <row r="26" spans="2:24" x14ac:dyDescent="0.25">
      <c r="B26" s="120"/>
      <c r="C26" s="93" t="s">
        <v>100</v>
      </c>
      <c r="J26" s="119"/>
    </row>
    <row r="27" spans="2:24" x14ac:dyDescent="0.25">
      <c r="E27" s="93" t="s">
        <v>247</v>
      </c>
      <c r="F27" s="93" t="s">
        <v>249</v>
      </c>
      <c r="J27" s="119"/>
    </row>
    <row r="29" spans="2:24" x14ac:dyDescent="0.25">
      <c r="E29" s="93" t="s">
        <v>248</v>
      </c>
      <c r="F29" s="93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M60"/>
  <sheetViews>
    <sheetView tabSelected="1" topLeftCell="A3" zoomScale="226" zoomScaleNormal="226" workbookViewId="0">
      <selection activeCell="H13" sqref="H13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8" max="8" width="34.88671875" customWidth="1"/>
    <col min="11" max="11" width="12.44140625" bestFit="1" customWidth="1"/>
    <col min="12" max="12" width="10.21875" bestFit="1" customWidth="1"/>
  </cols>
  <sheetData>
    <row r="1" spans="2:13" ht="14.4" x14ac:dyDescent="0.3">
      <c r="B1" s="6" t="s">
        <v>75</v>
      </c>
      <c r="C1" s="6" t="s">
        <v>76</v>
      </c>
      <c r="D1" s="6" t="s">
        <v>77</v>
      </c>
      <c r="E1" s="6" t="s">
        <v>78</v>
      </c>
      <c r="I1" s="6" t="s">
        <v>79</v>
      </c>
    </row>
    <row r="2" spans="2:13" ht="15.6" x14ac:dyDescent="0.3">
      <c r="B2" s="7" t="s">
        <v>82</v>
      </c>
      <c r="C2" s="7"/>
      <c r="D2" s="7"/>
      <c r="E2" s="7" t="str">
        <f>EBF!Q2</f>
        <v>GWh</v>
      </c>
      <c r="I2" s="7" t="str">
        <f>EBF!P2</f>
        <v>TH$2022</v>
      </c>
    </row>
    <row r="5" spans="2:13" x14ac:dyDescent="0.25">
      <c r="C5" s="130" t="s">
        <v>13</v>
      </c>
      <c r="D5" s="130"/>
      <c r="E5" s="1"/>
    </row>
    <row r="6" spans="2:13" x14ac:dyDescent="0.25">
      <c r="B6" s="129" t="s">
        <v>188</v>
      </c>
      <c r="C6" s="129" t="s">
        <v>0</v>
      </c>
      <c r="D6" s="129" t="s">
        <v>189</v>
      </c>
      <c r="E6" s="129">
        <v>2022</v>
      </c>
      <c r="F6" s="129">
        <v>2050</v>
      </c>
      <c r="G6" s="136"/>
      <c r="H6" s="136"/>
      <c r="I6" s="136"/>
      <c r="L6" s="130" t="s">
        <v>13</v>
      </c>
      <c r="M6" s="1"/>
    </row>
    <row r="7" spans="2:13" ht="21" x14ac:dyDescent="0.25">
      <c r="B7" s="132" t="s">
        <v>81</v>
      </c>
      <c r="C7" s="132" t="s">
        <v>190</v>
      </c>
      <c r="D7" s="132" t="s">
        <v>191</v>
      </c>
      <c r="E7" s="132" t="s">
        <v>192</v>
      </c>
      <c r="F7" s="132" t="s">
        <v>192</v>
      </c>
      <c r="G7" s="137"/>
      <c r="H7" s="137"/>
      <c r="I7" s="137"/>
      <c r="J7" s="129" t="s">
        <v>188</v>
      </c>
      <c r="K7" s="129" t="s">
        <v>0</v>
      </c>
      <c r="L7" s="129" t="s">
        <v>194</v>
      </c>
      <c r="M7" s="129">
        <v>2022</v>
      </c>
    </row>
    <row r="8" spans="2:13" ht="21.6" thickBot="1" x14ac:dyDescent="0.3">
      <c r="B8" s="131" t="s">
        <v>87</v>
      </c>
      <c r="C8" s="131"/>
      <c r="D8" s="131"/>
      <c r="E8" s="131" t="s">
        <v>169</v>
      </c>
      <c r="F8" s="131" t="s">
        <v>169</v>
      </c>
      <c r="G8" s="137"/>
      <c r="H8" s="137"/>
      <c r="I8" s="137"/>
      <c r="J8" s="139" t="s">
        <v>81</v>
      </c>
      <c r="K8" s="139" t="s">
        <v>190</v>
      </c>
      <c r="L8" s="139"/>
      <c r="M8" s="139"/>
    </row>
    <row r="9" spans="2:13" ht="13.8" thickBot="1" x14ac:dyDescent="0.3">
      <c r="B9" s="133" t="s">
        <v>193</v>
      </c>
      <c r="C9" s="133" t="str">
        <f>DemTechs_INDF!R5</f>
        <v>MANHEAT</v>
      </c>
      <c r="D9" s="133" t="str">
        <f>E$2</f>
        <v>GWh</v>
      </c>
      <c r="E9" s="135">
        <f>EBF!D18-EBF!D6+EBF!D5</f>
        <v>9036.9662785128003</v>
      </c>
      <c r="F9" s="135">
        <f>182694.6233*0.7</f>
        <v>127886.23630999999</v>
      </c>
      <c r="H9" s="11"/>
      <c r="J9" s="9" t="s">
        <v>87</v>
      </c>
      <c r="K9" s="9"/>
      <c r="L9" s="9"/>
      <c r="M9" s="9"/>
    </row>
    <row r="10" spans="2:13" ht="13.8" thickBot="1" x14ac:dyDescent="0.3">
      <c r="B10" s="133" t="s">
        <v>193</v>
      </c>
      <c r="C10" s="133" t="str">
        <f>DemTechs_INDF!R6</f>
        <v>MANELC</v>
      </c>
      <c r="D10" s="133" t="str">
        <f>E$2</f>
        <v>GWh</v>
      </c>
      <c r="E10" s="135">
        <v>2605.3284096000002</v>
      </c>
      <c r="F10" s="135">
        <v>78297.695699999997</v>
      </c>
      <c r="J10" s="1" t="s">
        <v>195</v>
      </c>
      <c r="K10" s="1" t="str">
        <f>DemTechs_INDF!R$6</f>
        <v>MANELC</v>
      </c>
      <c r="L10" s="93" t="s">
        <v>196</v>
      </c>
      <c r="M10" s="140">
        <v>0.75</v>
      </c>
    </row>
    <row r="11" spans="2:13" ht="13.8" thickBot="1" x14ac:dyDescent="0.3">
      <c r="B11" s="133"/>
      <c r="C11" s="133"/>
      <c r="D11" s="133"/>
      <c r="E11" s="135"/>
      <c r="F11" s="135"/>
      <c r="J11" s="1"/>
      <c r="K11" s="1"/>
      <c r="L11" s="93"/>
      <c r="M11" s="140"/>
    </row>
    <row r="12" spans="2:13" x14ac:dyDescent="0.25">
      <c r="B12" s="133"/>
      <c r="C12" s="133"/>
      <c r="D12" s="153" t="s">
        <v>277</v>
      </c>
      <c r="E12" s="152">
        <f>E10/(E$9+E$10)</f>
        <v>0.22378134890024159</v>
      </c>
      <c r="F12" s="152">
        <f>F10/(F$9+F$10)</f>
        <v>0.379746835443038</v>
      </c>
      <c r="I12" s="5"/>
      <c r="J12" s="1" t="s">
        <v>195</v>
      </c>
      <c r="K12" s="1" t="str">
        <f>DemTechs_INDF!R$6</f>
        <v>MANELC</v>
      </c>
      <c r="L12" s="93" t="s">
        <v>197</v>
      </c>
      <c r="M12" s="140">
        <v>0.25</v>
      </c>
    </row>
    <row r="13" spans="2:13" x14ac:dyDescent="0.25">
      <c r="B13" s="1"/>
      <c r="D13" t="s">
        <v>278</v>
      </c>
      <c r="E13" s="152">
        <f>E9/(E$9+E$10)</f>
        <v>0.77621865109975841</v>
      </c>
      <c r="F13" s="152">
        <f>F9/(F$9+F$10)</f>
        <v>0.620253164556962</v>
      </c>
      <c r="J13" s="1" t="s">
        <v>195</v>
      </c>
      <c r="K13" s="1" t="str">
        <f>DemTechs_INDF!R$6</f>
        <v>MANELC</v>
      </c>
      <c r="L13" s="93" t="s">
        <v>198</v>
      </c>
      <c r="M13" s="140">
        <v>1.0416666666666666E-2</v>
      </c>
    </row>
    <row r="14" spans="2:13" x14ac:dyDescent="0.25">
      <c r="J14" s="1" t="s">
        <v>195</v>
      </c>
      <c r="K14" s="1" t="str">
        <f>DemTechs_INDF!R$6</f>
        <v>MANELC</v>
      </c>
      <c r="L14" s="141" t="s">
        <v>199</v>
      </c>
      <c r="M14" s="142">
        <v>1.0416666666666666E-2</v>
      </c>
    </row>
    <row r="15" spans="2:13" x14ac:dyDescent="0.25">
      <c r="J15" s="1" t="s">
        <v>195</v>
      </c>
      <c r="K15" s="1" t="str">
        <f>DemTechs_INDF!R$6</f>
        <v>MANELC</v>
      </c>
      <c r="L15" t="s">
        <v>200</v>
      </c>
      <c r="M15" s="140">
        <v>1.0416666666666666E-2</v>
      </c>
    </row>
    <row r="16" spans="2:13" x14ac:dyDescent="0.25">
      <c r="E16" s="5"/>
      <c r="J16" s="1" t="s">
        <v>195</v>
      </c>
      <c r="K16" s="1" t="str">
        <f>DemTechs_INDF!R$6</f>
        <v>MANELC</v>
      </c>
      <c r="L16" t="s">
        <v>201</v>
      </c>
      <c r="M16" s="140">
        <v>1.0416666666666666E-2</v>
      </c>
    </row>
    <row r="17" spans="2:13" x14ac:dyDescent="0.25">
      <c r="J17" s="1" t="s">
        <v>195</v>
      </c>
      <c r="K17" s="1" t="str">
        <f>DemTechs_INDF!R$6</f>
        <v>MANELC</v>
      </c>
      <c r="L17" t="s">
        <v>202</v>
      </c>
      <c r="M17" s="140">
        <v>1.0416666666666666E-2</v>
      </c>
    </row>
    <row r="18" spans="2:13" x14ac:dyDescent="0.25">
      <c r="J18" s="1" t="s">
        <v>195</v>
      </c>
      <c r="K18" s="1" t="str">
        <f>DemTechs_INDF!R$6</f>
        <v>MANELC</v>
      </c>
      <c r="L18" t="s">
        <v>203</v>
      </c>
      <c r="M18" s="142">
        <v>1.0416666666666666E-2</v>
      </c>
    </row>
    <row r="19" spans="2:13" x14ac:dyDescent="0.25">
      <c r="B19" s="1" t="s">
        <v>193</v>
      </c>
      <c r="C19" t="str">
        <f>DemTechs_INDF!R9</f>
        <v>CONELC</v>
      </c>
      <c r="D19" t="s">
        <v>169</v>
      </c>
      <c r="E19" s="5">
        <f>EBF!J19</f>
        <v>150.60848427090019</v>
      </c>
      <c r="J19" s="1" t="s">
        <v>195</v>
      </c>
      <c r="K19" s="1" t="str">
        <f>DemTechs_INDF!R$6</f>
        <v>MANELC</v>
      </c>
      <c r="L19" t="s">
        <v>204</v>
      </c>
      <c r="M19" s="140">
        <v>1.0416666666666666E-2</v>
      </c>
    </row>
    <row r="20" spans="2:13" x14ac:dyDescent="0.25">
      <c r="B20" s="1" t="s">
        <v>193</v>
      </c>
      <c r="C20" t="str">
        <f>DemTechs_INDF!R10</f>
        <v>CONOILIMP</v>
      </c>
      <c r="D20" t="s">
        <v>169</v>
      </c>
      <c r="E20" s="5">
        <f>EBF!E19</f>
        <v>8781.4640358504003</v>
      </c>
      <c r="J20" s="1" t="s">
        <v>195</v>
      </c>
      <c r="K20" s="1" t="str">
        <f>DemTechs_INDF!R$6</f>
        <v>MANELC</v>
      </c>
      <c r="L20" t="s">
        <v>205</v>
      </c>
      <c r="M20" s="140">
        <v>1.0416666666666666E-2</v>
      </c>
    </row>
    <row r="21" spans="2:13" x14ac:dyDescent="0.25">
      <c r="J21" s="1" t="s">
        <v>195</v>
      </c>
      <c r="K21" s="1" t="str">
        <f>DemTechs_INDF!R$6</f>
        <v>MANELC</v>
      </c>
      <c r="L21" t="s">
        <v>206</v>
      </c>
      <c r="M21" s="140">
        <v>1.0416666666666666E-2</v>
      </c>
    </row>
    <row r="22" spans="2:13" x14ac:dyDescent="0.25">
      <c r="B22" s="134"/>
      <c r="C22" s="1" t="s">
        <v>99</v>
      </c>
      <c r="J22" s="1" t="s">
        <v>195</v>
      </c>
      <c r="K22" s="1" t="str">
        <f>DemTechs_INDF!R$6</f>
        <v>MANELC</v>
      </c>
      <c r="L22" t="s">
        <v>207</v>
      </c>
      <c r="M22" s="142">
        <v>1.0416666666666666E-2</v>
      </c>
    </row>
    <row r="23" spans="2:13" x14ac:dyDescent="0.25">
      <c r="B23" s="47"/>
      <c r="C23" s="1" t="s">
        <v>100</v>
      </c>
      <c r="J23" s="1" t="s">
        <v>195</v>
      </c>
      <c r="K23" s="1" t="str">
        <f>DemTechs_INDF!R$6</f>
        <v>MANELC</v>
      </c>
      <c r="L23" t="s">
        <v>208</v>
      </c>
      <c r="M23" s="140">
        <v>1.0416666666666666E-2</v>
      </c>
    </row>
    <row r="24" spans="2:13" x14ac:dyDescent="0.25">
      <c r="J24" s="1" t="s">
        <v>195</v>
      </c>
      <c r="K24" s="1" t="str">
        <f>DemTechs_INDF!R$6</f>
        <v>MANELC</v>
      </c>
      <c r="L24" t="s">
        <v>209</v>
      </c>
      <c r="M24" s="140">
        <v>1.0416666666666666E-2</v>
      </c>
    </row>
    <row r="25" spans="2:13" x14ac:dyDescent="0.25">
      <c r="J25" s="1" t="s">
        <v>195</v>
      </c>
      <c r="K25" s="1" t="str">
        <f>DemTechs_INDF!R$6</f>
        <v>MANELC</v>
      </c>
      <c r="L25" t="s">
        <v>210</v>
      </c>
      <c r="M25" s="140">
        <v>1.0416666666666666E-2</v>
      </c>
    </row>
    <row r="26" spans="2:13" x14ac:dyDescent="0.25">
      <c r="J26" s="1" t="s">
        <v>195</v>
      </c>
      <c r="K26" s="1" t="str">
        <f>DemTechs_INDF!R$6</f>
        <v>MANELC</v>
      </c>
      <c r="L26" t="s">
        <v>211</v>
      </c>
      <c r="M26" s="142">
        <v>1.0416666666666666E-2</v>
      </c>
    </row>
    <row r="27" spans="2:13" x14ac:dyDescent="0.25">
      <c r="J27" s="1" t="s">
        <v>195</v>
      </c>
      <c r="K27" s="1" t="str">
        <f>DemTechs_INDF!R$6</f>
        <v>MANELC</v>
      </c>
      <c r="L27" t="s">
        <v>212</v>
      </c>
      <c r="M27" s="140">
        <v>1.0416666666666666E-2</v>
      </c>
    </row>
    <row r="28" spans="2:13" x14ac:dyDescent="0.25">
      <c r="J28" s="1" t="s">
        <v>195</v>
      </c>
      <c r="K28" s="1" t="str">
        <f>DemTechs_INDF!R$6</f>
        <v>MANELC</v>
      </c>
      <c r="L28" t="s">
        <v>213</v>
      </c>
      <c r="M28" s="140">
        <v>1.0416666666666666E-2</v>
      </c>
    </row>
    <row r="29" spans="2:13" x14ac:dyDescent="0.25">
      <c r="J29" s="1" t="s">
        <v>195</v>
      </c>
      <c r="K29" s="1" t="str">
        <f>DemTechs_INDF!R$6</f>
        <v>MANELC</v>
      </c>
      <c r="L29" t="s">
        <v>214</v>
      </c>
      <c r="M29" s="140">
        <v>1.0416666666666666E-2</v>
      </c>
    </row>
    <row r="30" spans="2:13" x14ac:dyDescent="0.25">
      <c r="J30" s="1" t="s">
        <v>195</v>
      </c>
      <c r="K30" s="1" t="str">
        <f>DemTechs_INDF!R$6</f>
        <v>MANELC</v>
      </c>
      <c r="L30" t="s">
        <v>215</v>
      </c>
      <c r="M30" s="142">
        <v>1.0416666666666666E-2</v>
      </c>
    </row>
    <row r="31" spans="2:13" x14ac:dyDescent="0.25">
      <c r="J31" s="1" t="s">
        <v>195</v>
      </c>
      <c r="K31" s="1" t="str">
        <f>DemTechs_INDF!R$6</f>
        <v>MANELC</v>
      </c>
      <c r="L31" t="s">
        <v>216</v>
      </c>
      <c r="M31" s="140">
        <v>1.0416666666666666E-2</v>
      </c>
    </row>
    <row r="32" spans="2:13" x14ac:dyDescent="0.25">
      <c r="J32" s="1" t="s">
        <v>195</v>
      </c>
      <c r="K32" s="1" t="str">
        <f>DemTechs_INDF!R$6</f>
        <v>MANELC</v>
      </c>
      <c r="L32" t="s">
        <v>217</v>
      </c>
      <c r="M32" s="140">
        <v>1.0416666666666666E-2</v>
      </c>
    </row>
    <row r="33" spans="10:13" x14ac:dyDescent="0.25">
      <c r="J33" s="1" t="s">
        <v>195</v>
      </c>
      <c r="K33" s="1" t="str">
        <f>DemTechs_INDF!R$6</f>
        <v>MANELC</v>
      </c>
      <c r="L33" t="s">
        <v>218</v>
      </c>
      <c r="M33" s="140">
        <v>1.0416666666666666E-2</v>
      </c>
    </row>
    <row r="34" spans="10:13" x14ac:dyDescent="0.25">
      <c r="J34" s="1" t="s">
        <v>195</v>
      </c>
      <c r="K34" s="1" t="str">
        <f>DemTechs_INDF!R$6</f>
        <v>MANELC</v>
      </c>
      <c r="L34" t="s">
        <v>219</v>
      </c>
      <c r="M34" s="142">
        <v>1.0416666666666666E-2</v>
      </c>
    </row>
    <row r="35" spans="10:13" x14ac:dyDescent="0.25">
      <c r="J35" s="1" t="s">
        <v>195</v>
      </c>
      <c r="K35" s="1" t="str">
        <f>DemTechs_INDF!R$6</f>
        <v>MANELC</v>
      </c>
      <c r="L35" t="s">
        <v>220</v>
      </c>
      <c r="M35" s="140">
        <v>1.0416666666666666E-2</v>
      </c>
    </row>
    <row r="36" spans="10:13" x14ac:dyDescent="0.25">
      <c r="J36" s="1" t="s">
        <v>195</v>
      </c>
      <c r="K36" s="1" t="str">
        <f>DemTechs_INDF!R$6</f>
        <v>MANELC</v>
      </c>
      <c r="L36" t="s">
        <v>221</v>
      </c>
      <c r="M36" s="140">
        <v>1.0416666666666666E-2</v>
      </c>
    </row>
    <row r="37" spans="10:13" x14ac:dyDescent="0.25">
      <c r="J37" s="1" t="s">
        <v>195</v>
      </c>
      <c r="K37" s="1" t="str">
        <f>DemTechs_INDF!R$6</f>
        <v>MANELC</v>
      </c>
      <c r="L37" t="s">
        <v>222</v>
      </c>
      <c r="M37" s="140">
        <v>3.125E-2</v>
      </c>
    </row>
    <row r="38" spans="10:13" x14ac:dyDescent="0.25">
      <c r="J38" s="1" t="s">
        <v>195</v>
      </c>
      <c r="K38" s="1" t="str">
        <f>DemTechs_INDF!R$6</f>
        <v>MANELC</v>
      </c>
      <c r="L38" t="s">
        <v>223</v>
      </c>
      <c r="M38" s="142">
        <v>3.125E-2</v>
      </c>
    </row>
    <row r="39" spans="10:13" x14ac:dyDescent="0.25">
      <c r="J39" s="1" t="s">
        <v>195</v>
      </c>
      <c r="K39" s="1" t="str">
        <f>DemTechs_INDF!R$6</f>
        <v>MANELC</v>
      </c>
      <c r="L39" t="s">
        <v>224</v>
      </c>
      <c r="M39" s="140">
        <v>3.125E-2</v>
      </c>
    </row>
    <row r="40" spans="10:13" x14ac:dyDescent="0.25">
      <c r="J40" s="1" t="s">
        <v>195</v>
      </c>
      <c r="K40" s="1" t="str">
        <f>DemTechs_INDF!R$6</f>
        <v>MANELC</v>
      </c>
      <c r="L40" t="s">
        <v>225</v>
      </c>
      <c r="M40" s="140">
        <v>3.125E-2</v>
      </c>
    </row>
    <row r="41" spans="10:13" x14ac:dyDescent="0.25">
      <c r="J41" s="1" t="s">
        <v>195</v>
      </c>
      <c r="K41" s="1" t="str">
        <f>DemTechs_INDF!R$6</f>
        <v>MANELC</v>
      </c>
      <c r="L41" t="s">
        <v>226</v>
      </c>
      <c r="M41" s="140">
        <v>3.125E-2</v>
      </c>
    </row>
    <row r="42" spans="10:13" x14ac:dyDescent="0.25">
      <c r="J42" s="1" t="s">
        <v>195</v>
      </c>
      <c r="K42" s="1" t="str">
        <f>DemTechs_INDF!R$6</f>
        <v>MANELC</v>
      </c>
      <c r="L42" t="s">
        <v>227</v>
      </c>
      <c r="M42" s="142">
        <v>3.125E-2</v>
      </c>
    </row>
    <row r="43" spans="10:13" x14ac:dyDescent="0.25">
      <c r="J43" s="1" t="s">
        <v>195</v>
      </c>
      <c r="K43" s="1" t="str">
        <f>DemTechs_INDF!R$6</f>
        <v>MANELC</v>
      </c>
      <c r="L43" t="s">
        <v>228</v>
      </c>
      <c r="M43" s="140">
        <v>3.125E-2</v>
      </c>
    </row>
    <row r="44" spans="10:13" x14ac:dyDescent="0.25">
      <c r="J44" s="1" t="s">
        <v>195</v>
      </c>
      <c r="K44" s="1" t="str">
        <f>DemTechs_INDF!R$6</f>
        <v>MANELC</v>
      </c>
      <c r="L44" t="s">
        <v>229</v>
      </c>
      <c r="M44" s="140">
        <v>3.125E-2</v>
      </c>
    </row>
    <row r="45" spans="10:13" x14ac:dyDescent="0.25">
      <c r="J45" s="1" t="s">
        <v>195</v>
      </c>
      <c r="K45" s="1" t="str">
        <f>DemTechs_INDF!R$6</f>
        <v>MANELC</v>
      </c>
      <c r="L45" t="s">
        <v>230</v>
      </c>
      <c r="M45" s="140">
        <v>3.125E-2</v>
      </c>
    </row>
    <row r="46" spans="10:13" x14ac:dyDescent="0.25">
      <c r="J46" s="1" t="s">
        <v>195</v>
      </c>
      <c r="K46" s="1" t="str">
        <f>DemTechs_INDF!R$6</f>
        <v>MANELC</v>
      </c>
      <c r="L46" t="s">
        <v>231</v>
      </c>
      <c r="M46" s="142">
        <v>3.125E-2</v>
      </c>
    </row>
    <row r="47" spans="10:13" x14ac:dyDescent="0.25">
      <c r="J47" s="1" t="s">
        <v>195</v>
      </c>
      <c r="K47" s="1" t="str">
        <f>DemTechs_INDF!R$6</f>
        <v>MANELC</v>
      </c>
      <c r="L47" t="s">
        <v>232</v>
      </c>
      <c r="M47" s="140">
        <v>3.125E-2</v>
      </c>
    </row>
    <row r="48" spans="10:13" x14ac:dyDescent="0.25">
      <c r="J48" s="1" t="s">
        <v>195</v>
      </c>
      <c r="K48" s="1" t="str">
        <f>DemTechs_INDF!R$6</f>
        <v>MANELC</v>
      </c>
      <c r="L48" t="s">
        <v>233</v>
      </c>
      <c r="M48" s="140">
        <v>3.125E-2</v>
      </c>
    </row>
    <row r="49" spans="10:13" x14ac:dyDescent="0.25">
      <c r="J49" s="1" t="s">
        <v>195</v>
      </c>
      <c r="K49" s="1" t="str">
        <f>DemTechs_INDF!R$6</f>
        <v>MANELC</v>
      </c>
      <c r="L49" t="s">
        <v>234</v>
      </c>
      <c r="M49" s="140">
        <v>3.125E-2</v>
      </c>
    </row>
    <row r="50" spans="10:13" x14ac:dyDescent="0.25">
      <c r="J50" s="1" t="s">
        <v>195</v>
      </c>
      <c r="K50" s="1" t="str">
        <f>DemTechs_INDF!R$6</f>
        <v>MANELC</v>
      </c>
      <c r="L50" t="s">
        <v>235</v>
      </c>
      <c r="M50" s="142">
        <v>3.125E-2</v>
      </c>
    </row>
    <row r="51" spans="10:13" x14ac:dyDescent="0.25">
      <c r="J51" s="1" t="s">
        <v>195</v>
      </c>
      <c r="K51" s="1" t="str">
        <f>DemTechs_INDF!R$6</f>
        <v>MANELC</v>
      </c>
      <c r="L51" t="s">
        <v>236</v>
      </c>
      <c r="M51" s="140">
        <v>3.125E-2</v>
      </c>
    </row>
    <row r="52" spans="10:13" x14ac:dyDescent="0.25">
      <c r="J52" s="1" t="s">
        <v>195</v>
      </c>
      <c r="K52" s="1" t="str">
        <f>DemTechs_INDF!R$6</f>
        <v>MANELC</v>
      </c>
      <c r="L52" t="s">
        <v>237</v>
      </c>
      <c r="M52" s="140">
        <v>3.125E-2</v>
      </c>
    </row>
    <row r="53" spans="10:13" x14ac:dyDescent="0.25">
      <c r="J53" s="1" t="s">
        <v>195</v>
      </c>
      <c r="K53" s="1" t="str">
        <f>DemTechs_INDF!R$6</f>
        <v>MANELC</v>
      </c>
      <c r="L53" t="s">
        <v>238</v>
      </c>
      <c r="M53" s="140">
        <v>3.125E-2</v>
      </c>
    </row>
    <row r="54" spans="10:13" x14ac:dyDescent="0.25">
      <c r="J54" s="1" t="s">
        <v>195</v>
      </c>
      <c r="K54" s="1" t="str">
        <f>DemTechs_INDF!R$6</f>
        <v>MANELC</v>
      </c>
      <c r="L54" t="s">
        <v>239</v>
      </c>
      <c r="M54" s="142">
        <v>3.125E-2</v>
      </c>
    </row>
    <row r="55" spans="10:13" x14ac:dyDescent="0.25">
      <c r="J55" s="1" t="s">
        <v>195</v>
      </c>
      <c r="K55" s="1" t="str">
        <f>DemTechs_INDF!R$6</f>
        <v>MANELC</v>
      </c>
      <c r="L55" t="s">
        <v>240</v>
      </c>
      <c r="M55" s="140">
        <v>3.125E-2</v>
      </c>
    </row>
    <row r="56" spans="10:13" x14ac:dyDescent="0.25">
      <c r="J56" s="1" t="s">
        <v>195</v>
      </c>
      <c r="K56" s="1" t="str">
        <f>DemTechs_INDF!R$6</f>
        <v>MANELC</v>
      </c>
      <c r="L56" t="s">
        <v>241</v>
      </c>
      <c r="M56" s="140">
        <v>3.125E-2</v>
      </c>
    </row>
    <row r="57" spans="10:13" x14ac:dyDescent="0.25">
      <c r="J57" s="1" t="s">
        <v>195</v>
      </c>
      <c r="K57" s="1" t="str">
        <f>DemTechs_INDF!R$6</f>
        <v>MANELC</v>
      </c>
      <c r="L57" t="s">
        <v>242</v>
      </c>
      <c r="M57" s="140">
        <v>3.125E-2</v>
      </c>
    </row>
    <row r="58" spans="10:13" x14ac:dyDescent="0.25">
      <c r="J58" s="1" t="s">
        <v>195</v>
      </c>
      <c r="K58" s="1" t="str">
        <f>DemTechs_INDF!R$6</f>
        <v>MANELC</v>
      </c>
      <c r="L58" t="s">
        <v>243</v>
      </c>
      <c r="M58" s="142">
        <v>3.125E-2</v>
      </c>
    </row>
    <row r="59" spans="10:13" x14ac:dyDescent="0.25">
      <c r="J59" s="1" t="s">
        <v>195</v>
      </c>
      <c r="K59" s="1" t="str">
        <f>DemTechs_INDF!R$6</f>
        <v>MANELC</v>
      </c>
      <c r="L59" t="s">
        <v>244</v>
      </c>
      <c r="M59" s="140">
        <v>3.125E-2</v>
      </c>
    </row>
    <row r="60" spans="10:13" x14ac:dyDescent="0.25">
      <c r="J60" s="1" t="s">
        <v>195</v>
      </c>
      <c r="K60" s="1" t="str">
        <f>DemTechs_INDF!R$6</f>
        <v>MANELC</v>
      </c>
      <c r="L60" t="s">
        <v>245</v>
      </c>
      <c r="M60" s="140">
        <v>3.125E-2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opLeftCell="A3"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4" t="s">
        <v>267</v>
      </c>
      <c r="C3" s="144"/>
      <c r="D3" s="144"/>
      <c r="E3" s="144"/>
      <c r="F3" s="144"/>
      <c r="G3" s="144"/>
      <c r="H3" s="144"/>
    </row>
    <row r="4" spans="2:9" ht="17.399999999999999" customHeight="1" x14ac:dyDescent="0.3">
      <c r="B4" s="145"/>
      <c r="C4" s="145"/>
      <c r="D4" s="145"/>
      <c r="E4" s="145"/>
      <c r="F4" s="145"/>
      <c r="G4" s="145"/>
    </row>
    <row r="5" spans="2:9" ht="17.399999999999999" x14ac:dyDescent="0.3">
      <c r="B5" s="146" t="s">
        <v>268</v>
      </c>
      <c r="C5" s="147"/>
    </row>
    <row r="6" spans="2:9" ht="13.8" thickBot="1" x14ac:dyDescent="0.3">
      <c r="B6" s="148" t="s">
        <v>0</v>
      </c>
      <c r="C6" s="148" t="str">
        <f>Sector_Fuels!N5</f>
        <v>MANCOALMIN</v>
      </c>
      <c r="D6" s="148" t="str">
        <f>Sector_Fuels!N6</f>
        <v>MANCOALIMP</v>
      </c>
      <c r="E6" s="148" t="str">
        <f>Sector_Fuels!N7</f>
        <v>MANOILIMP</v>
      </c>
      <c r="F6" s="148" t="str">
        <f>Sector_Fuels!N8</f>
        <v>ELCRNW</v>
      </c>
      <c r="G6" s="148"/>
      <c r="H6" s="148"/>
      <c r="I6" s="1"/>
    </row>
    <row r="7" spans="2:9" ht="13.8" thickBot="1" x14ac:dyDescent="0.3">
      <c r="B7" s="149" t="s">
        <v>87</v>
      </c>
      <c r="C7" s="149" t="s">
        <v>269</v>
      </c>
      <c r="D7" s="149" t="s">
        <v>269</v>
      </c>
      <c r="E7" s="149" t="s">
        <v>269</v>
      </c>
      <c r="F7" s="149" t="s">
        <v>269</v>
      </c>
      <c r="G7" s="149"/>
      <c r="H7" s="149"/>
      <c r="I7" s="1"/>
    </row>
    <row r="8" spans="2:9" x14ac:dyDescent="0.25">
      <c r="B8" s="150" t="str">
        <f>DemTechs_INDF!R7</f>
        <v>MANCO2</v>
      </c>
      <c r="C8" s="151">
        <v>347494</v>
      </c>
      <c r="D8" s="151">
        <v>347494</v>
      </c>
      <c r="E8" s="151">
        <v>279515</v>
      </c>
      <c r="F8" s="151">
        <v>0</v>
      </c>
      <c r="G8" s="151"/>
      <c r="H8" s="151"/>
      <c r="I8" s="1"/>
    </row>
    <row r="23" spans="2:3" x14ac:dyDescent="0.25">
      <c r="B23" s="134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2025-10-18T09:42:42Z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