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390ED131-2C01-4ADC-80E8-BF235F75CC97}" xr6:coauthVersionLast="47" xr6:coauthVersionMax="47" xr10:uidLastSave="{00000000-0000-0000-0000-000000000000}"/>
  <bookViews>
    <workbookView xWindow="28680" yWindow="-120" windowWidth="29040" windowHeight="15720" tabRatio="890" activeTab="2" xr2:uid="{00000000-000D-0000-FFFF-FFFF00000000}"/>
  </bookViews>
  <sheets>
    <sheet name="Energybalance history" sheetId="147" r:id="rId1"/>
    <sheet name="Enrgy growth" sheetId="148" r:id="rId2"/>
    <sheet name="TechnologydataTech" sheetId="149" r:id="rId3"/>
    <sheet name="EBF TJ" sheetId="144" r:id="rId4"/>
    <sheet name="EBF" sheetId="133" r:id="rId5"/>
    <sheet name="RES&amp;OBJ" sheetId="135" r:id="rId6"/>
    <sheet name="PRI_Sector_Fuels" sheetId="137" r:id="rId7"/>
    <sheet name="DemTechs_INDF" sheetId="143" r:id="rId8"/>
    <sheet name="Demands" sheetId="145" r:id="rId9"/>
    <sheet name="Emi" sheetId="146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49" l="1"/>
  <c r="AA6" i="149"/>
  <c r="AA4" i="149"/>
  <c r="Z13" i="149"/>
  <c r="Y13" i="149"/>
  <c r="AA13" i="149" s="1"/>
  <c r="A33" i="149"/>
  <c r="C38" i="149"/>
  <c r="C37" i="149"/>
  <c r="C36" i="149"/>
  <c r="C35" i="149"/>
  <c r="C34" i="149"/>
  <c r="C33" i="149"/>
  <c r="D19" i="149"/>
  <c r="E19" i="149"/>
  <c r="F19" i="149"/>
  <c r="I19" i="149"/>
  <c r="G19" i="149" s="1"/>
  <c r="P19" i="149"/>
  <c r="C19" i="149"/>
  <c r="B17" i="149"/>
  <c r="C17" i="149"/>
  <c r="A17" i="149"/>
  <c r="S3" i="149"/>
  <c r="V3" i="149" s="1"/>
  <c r="T3" i="149"/>
  <c r="W3" i="149" s="1"/>
  <c r="R3" i="149"/>
  <c r="U3" i="149" s="1"/>
  <c r="J2" i="149"/>
  <c r="H2" i="149"/>
  <c r="G2" i="149"/>
  <c r="J20" i="148"/>
  <c r="K20" i="148" s="1"/>
  <c r="J19" i="148"/>
  <c r="L19" i="148" s="1"/>
  <c r="N12" i="148"/>
  <c r="M12" i="148"/>
  <c r="L12" i="148"/>
  <c r="K12" i="148"/>
  <c r="J12" i="148"/>
  <c r="N11" i="148"/>
  <c r="M11" i="148"/>
  <c r="L11" i="148"/>
  <c r="K11" i="148"/>
  <c r="J11" i="148"/>
  <c r="N10" i="148"/>
  <c r="M10" i="148"/>
  <c r="L10" i="148"/>
  <c r="K10" i="148"/>
  <c r="J10" i="148"/>
  <c r="N9" i="148"/>
  <c r="M9" i="148"/>
  <c r="L9" i="148"/>
  <c r="K9" i="148"/>
  <c r="J9" i="148"/>
  <c r="J13" i="148" s="1"/>
  <c r="N8" i="148"/>
  <c r="M8" i="148"/>
  <c r="L8" i="148"/>
  <c r="K8" i="148"/>
  <c r="J8" i="148"/>
  <c r="A139" i="147"/>
  <c r="A138" i="147"/>
  <c r="A137" i="147"/>
  <c r="R114" i="147"/>
  <c r="P114" i="147"/>
  <c r="O114" i="147"/>
  <c r="N114" i="147"/>
  <c r="M114" i="147"/>
  <c r="L114" i="147"/>
  <c r="K114" i="147"/>
  <c r="J114" i="147"/>
  <c r="I114" i="147"/>
  <c r="H114" i="147"/>
  <c r="G114" i="147"/>
  <c r="F114" i="147"/>
  <c r="E114" i="147"/>
  <c r="D114" i="147"/>
  <c r="C114" i="147"/>
  <c r="B114" i="147"/>
  <c r="A114" i="147"/>
  <c r="R113" i="147"/>
  <c r="P113" i="147"/>
  <c r="O113" i="147"/>
  <c r="N113" i="147"/>
  <c r="M113" i="147"/>
  <c r="L113" i="147"/>
  <c r="K113" i="147"/>
  <c r="J113" i="147"/>
  <c r="I113" i="147"/>
  <c r="H113" i="147"/>
  <c r="A113" i="147"/>
  <c r="R112" i="147"/>
  <c r="P112" i="147"/>
  <c r="O112" i="147"/>
  <c r="N112" i="147"/>
  <c r="M112" i="147"/>
  <c r="L112" i="147"/>
  <c r="K112" i="147"/>
  <c r="J112" i="147"/>
  <c r="I112" i="147"/>
  <c r="H112" i="147"/>
  <c r="E112" i="147"/>
  <c r="A112" i="147"/>
  <c r="R111" i="147"/>
  <c r="P111" i="147"/>
  <c r="O111" i="147"/>
  <c r="N111" i="147"/>
  <c r="M111" i="147"/>
  <c r="L111" i="147"/>
  <c r="K111" i="147"/>
  <c r="J111" i="147"/>
  <c r="I111" i="147"/>
  <c r="H111" i="147"/>
  <c r="A111" i="147"/>
  <c r="R110" i="147"/>
  <c r="O110" i="147"/>
  <c r="L110" i="147"/>
  <c r="I110" i="147"/>
  <c r="H110" i="147"/>
  <c r="B110" i="147"/>
  <c r="A110" i="147"/>
  <c r="R108" i="147"/>
  <c r="P108" i="147"/>
  <c r="N108" i="147"/>
  <c r="O108" i="147" s="1"/>
  <c r="O109" i="147" s="1"/>
  <c r="M108" i="147"/>
  <c r="L108" i="147"/>
  <c r="K108" i="147"/>
  <c r="J108" i="147"/>
  <c r="I108" i="147"/>
  <c r="G108" i="147"/>
  <c r="C108" i="147"/>
  <c r="B108" i="147"/>
  <c r="A108" i="147"/>
  <c r="R107" i="147"/>
  <c r="P107" i="147"/>
  <c r="N107" i="147"/>
  <c r="H107" i="147"/>
  <c r="G107" i="147"/>
  <c r="F107" i="147"/>
  <c r="E107" i="147"/>
  <c r="D107" i="147"/>
  <c r="C107" i="147"/>
  <c r="B107" i="147"/>
  <c r="A107" i="147"/>
  <c r="A140" i="147" s="1"/>
  <c r="C100" i="147"/>
  <c r="B88" i="147"/>
  <c r="F71" i="147"/>
  <c r="F113" i="147" s="1"/>
  <c r="E71" i="147"/>
  <c r="E90" i="147" s="1"/>
  <c r="D71" i="147"/>
  <c r="C71" i="147"/>
  <c r="B71" i="147"/>
  <c r="B113" i="147" s="1"/>
  <c r="E70" i="147"/>
  <c r="F69" i="147"/>
  <c r="F111" i="147" s="1"/>
  <c r="D69" i="147"/>
  <c r="D79" i="147" s="1"/>
  <c r="B69" i="147"/>
  <c r="B79" i="147" s="1"/>
  <c r="M68" i="147"/>
  <c r="M110" i="147" s="1"/>
  <c r="J68" i="147"/>
  <c r="J110" i="147" s="1"/>
  <c r="B68" i="147"/>
  <c r="F67" i="147"/>
  <c r="G67" i="147" s="1"/>
  <c r="D67" i="147"/>
  <c r="C67" i="147"/>
  <c r="B67" i="147"/>
  <c r="F66" i="147"/>
  <c r="G66" i="147" s="1"/>
  <c r="E66" i="147"/>
  <c r="D66" i="147"/>
  <c r="C66" i="147"/>
  <c r="B66" i="147"/>
  <c r="Q65" i="147"/>
  <c r="P65" i="147"/>
  <c r="O65" i="147"/>
  <c r="N65" i="147"/>
  <c r="M65" i="147"/>
  <c r="L65" i="147"/>
  <c r="K65" i="147"/>
  <c r="I65" i="147"/>
  <c r="J65" i="147" s="1"/>
  <c r="H65" i="147"/>
  <c r="F65" i="147"/>
  <c r="E65" i="147"/>
  <c r="D65" i="147"/>
  <c r="C65" i="147"/>
  <c r="B65" i="147"/>
  <c r="P64" i="147"/>
  <c r="O64" i="147"/>
  <c r="O107" i="147" s="1"/>
  <c r="N64" i="147"/>
  <c r="M64" i="147"/>
  <c r="M107" i="147" s="1"/>
  <c r="L64" i="147"/>
  <c r="L107" i="147" s="1"/>
  <c r="K64" i="147"/>
  <c r="K107" i="147" s="1"/>
  <c r="J64" i="147"/>
  <c r="J107" i="147" s="1"/>
  <c r="I64" i="147"/>
  <c r="I107" i="147" s="1"/>
  <c r="F61" i="147"/>
  <c r="F76" i="147" s="1"/>
  <c r="D61" i="147"/>
  <c r="D76" i="147" s="1"/>
  <c r="C61" i="147"/>
  <c r="C76" i="147" s="1"/>
  <c r="B61" i="147"/>
  <c r="B76" i="147" s="1"/>
  <c r="F60" i="147"/>
  <c r="F75" i="147" s="1"/>
  <c r="C60" i="147"/>
  <c r="C75" i="147" s="1"/>
  <c r="B60" i="147"/>
  <c r="B75" i="147" s="1"/>
  <c r="F58" i="147"/>
  <c r="D58" i="147"/>
  <c r="C58" i="147"/>
  <c r="B58" i="147"/>
  <c r="B70" i="147" s="1"/>
  <c r="F57" i="147"/>
  <c r="F70" i="147" s="1"/>
  <c r="D57" i="147"/>
  <c r="D70" i="147" s="1"/>
  <c r="C57" i="147"/>
  <c r="C70" i="147" s="1"/>
  <c r="B57" i="147"/>
  <c r="E56" i="147"/>
  <c r="E40" i="147" s="1"/>
  <c r="C56" i="147"/>
  <c r="C69" i="147" s="1"/>
  <c r="F55" i="147"/>
  <c r="F68" i="147" s="1"/>
  <c r="E55" i="147"/>
  <c r="E60" i="147" s="1"/>
  <c r="E75" i="147" s="1"/>
  <c r="D55" i="147"/>
  <c r="D60" i="147" s="1"/>
  <c r="D75" i="147" s="1"/>
  <c r="C55" i="147"/>
  <c r="C68" i="147" s="1"/>
  <c r="B55" i="147"/>
  <c r="F53" i="147"/>
  <c r="E53" i="147"/>
  <c r="D53" i="147"/>
  <c r="C53" i="147"/>
  <c r="B53" i="147"/>
  <c r="E51" i="147"/>
  <c r="E50" i="147"/>
  <c r="E25" i="147" s="1"/>
  <c r="E28" i="147" s="1"/>
  <c r="E29" i="147" s="1"/>
  <c r="R48" i="147"/>
  <c r="P48" i="147"/>
  <c r="O48" i="147"/>
  <c r="N48" i="147"/>
  <c r="M48" i="147"/>
  <c r="L48" i="147"/>
  <c r="K48" i="147"/>
  <c r="J48" i="147"/>
  <c r="I48" i="147"/>
  <c r="H48" i="147"/>
  <c r="G48" i="147"/>
  <c r="F48" i="147"/>
  <c r="E48" i="147"/>
  <c r="D48" i="147"/>
  <c r="C48" i="147"/>
  <c r="B48" i="147"/>
  <c r="O47" i="147"/>
  <c r="F43" i="147"/>
  <c r="E43" i="147"/>
  <c r="G43" i="147" s="1"/>
  <c r="E42" i="147"/>
  <c r="E41" i="147"/>
  <c r="F38" i="147"/>
  <c r="E38" i="147"/>
  <c r="O31" i="147"/>
  <c r="O28" i="147"/>
  <c r="O29" i="147" s="1"/>
  <c r="E27" i="147"/>
  <c r="O32" i="147" s="1"/>
  <c r="P26" i="147"/>
  <c r="P68" i="147" s="1"/>
  <c r="M26" i="147"/>
  <c r="J26" i="147"/>
  <c r="F26" i="147"/>
  <c r="E26" i="147"/>
  <c r="D26" i="147"/>
  <c r="C26" i="147"/>
  <c r="B26" i="147"/>
  <c r="R25" i="147"/>
  <c r="O25" i="147"/>
  <c r="P25" i="147" s="1"/>
  <c r="N25" i="147"/>
  <c r="M25" i="147"/>
  <c r="L25" i="147"/>
  <c r="K25" i="147"/>
  <c r="I25" i="147"/>
  <c r="J25" i="147" s="1"/>
  <c r="G25" i="147"/>
  <c r="F25" i="147"/>
  <c r="D25" i="147"/>
  <c r="C25" i="147"/>
  <c r="B25" i="147"/>
  <c r="B90" i="147" l="1"/>
  <c r="B112" i="147"/>
  <c r="B92" i="147"/>
  <c r="B80" i="147"/>
  <c r="B93" i="147"/>
  <c r="B86" i="147"/>
  <c r="B84" i="147"/>
  <c r="B78" i="147"/>
  <c r="B97" i="147"/>
  <c r="D90" i="147"/>
  <c r="D103" i="147"/>
  <c r="D112" i="147"/>
  <c r="D93" i="147"/>
  <c r="D92" i="147"/>
  <c r="D95" i="147" s="1"/>
  <c r="D80" i="147"/>
  <c r="F103" i="147"/>
  <c r="F112" i="147"/>
  <c r="F93" i="147"/>
  <c r="F90" i="147"/>
  <c r="G70" i="147"/>
  <c r="G112" i="147" s="1"/>
  <c r="F92" i="147"/>
  <c r="F80" i="147"/>
  <c r="C94" i="147"/>
  <c r="B82" i="147"/>
  <c r="C82" i="147"/>
  <c r="C110" i="147"/>
  <c r="C78" i="147"/>
  <c r="C88" i="147"/>
  <c r="C101" i="147"/>
  <c r="E97" i="147"/>
  <c r="E86" i="147"/>
  <c r="D86" i="147"/>
  <c r="D97" i="147"/>
  <c r="B98" i="147"/>
  <c r="B85" i="147"/>
  <c r="C85" i="147"/>
  <c r="C98" i="147"/>
  <c r="C90" i="147"/>
  <c r="C103" i="147"/>
  <c r="C112" i="147"/>
  <c r="C80" i="147"/>
  <c r="C93" i="147"/>
  <c r="E103" i="147"/>
  <c r="P110" i="147"/>
  <c r="D94" i="147"/>
  <c r="C86" i="147"/>
  <c r="C84" i="147"/>
  <c r="C97" i="147"/>
  <c r="F97" i="147"/>
  <c r="F86" i="147"/>
  <c r="F84" i="147"/>
  <c r="F82" i="147"/>
  <c r="G68" i="147"/>
  <c r="G110" i="147" s="1"/>
  <c r="F110" i="147"/>
  <c r="F109" i="147" s="1"/>
  <c r="F78" i="147"/>
  <c r="F88" i="147"/>
  <c r="D98" i="147"/>
  <c r="D85" i="147"/>
  <c r="C79" i="147"/>
  <c r="C111" i="147"/>
  <c r="C102" i="147"/>
  <c r="C89" i="147"/>
  <c r="C72" i="147"/>
  <c r="C92" i="147"/>
  <c r="F98" i="147"/>
  <c r="F85" i="147"/>
  <c r="F79" i="147"/>
  <c r="F100" i="147"/>
  <c r="E61" i="147"/>
  <c r="E76" i="147" s="1"/>
  <c r="E80" i="147"/>
  <c r="D108" i="147"/>
  <c r="E108" i="147"/>
  <c r="O30" i="147"/>
  <c r="G71" i="147"/>
  <c r="G113" i="147" s="1"/>
  <c r="B81" i="147"/>
  <c r="F108" i="147"/>
  <c r="E67" i="147"/>
  <c r="B72" i="147"/>
  <c r="C81" i="147"/>
  <c r="B89" i="147"/>
  <c r="E100" i="147"/>
  <c r="G65" i="147"/>
  <c r="D100" i="147"/>
  <c r="F72" i="147"/>
  <c r="G72" i="147" s="1"/>
  <c r="F89" i="147"/>
  <c r="B94" i="147"/>
  <c r="F102" i="147"/>
  <c r="D111" i="147"/>
  <c r="F81" i="147"/>
  <c r="C113" i="147"/>
  <c r="D113" i="147"/>
  <c r="E69" i="147"/>
  <c r="D81" i="147"/>
  <c r="D72" i="147"/>
  <c r="E81" i="147"/>
  <c r="D89" i="147"/>
  <c r="D102" i="147"/>
  <c r="B111" i="147"/>
  <c r="B109" i="147" s="1"/>
  <c r="G69" i="147"/>
  <c r="G111" i="147" s="1"/>
  <c r="E39" i="147"/>
  <c r="D68" i="147"/>
  <c r="E68" i="147"/>
  <c r="E94" i="147"/>
  <c r="E113" i="147"/>
  <c r="F94" i="147"/>
  <c r="E78" i="147" l="1"/>
  <c r="E110" i="147"/>
  <c r="E109" i="147" s="1"/>
  <c r="N68" i="147"/>
  <c r="N110" i="147" s="1"/>
  <c r="K68" i="147"/>
  <c r="K110" i="147" s="1"/>
  <c r="E101" i="147"/>
  <c r="E88" i="147"/>
  <c r="E98" i="147"/>
  <c r="J98" i="147" s="1"/>
  <c r="E85" i="147"/>
  <c r="D110" i="147"/>
  <c r="D109" i="147" s="1"/>
  <c r="D78" i="147"/>
  <c r="D101" i="147"/>
  <c r="D88" i="147"/>
  <c r="C109" i="147"/>
  <c r="M82" i="147"/>
  <c r="F95" i="147"/>
  <c r="E79" i="147"/>
  <c r="E111" i="147"/>
  <c r="E102" i="147"/>
  <c r="E89" i="147"/>
  <c r="E93" i="147"/>
  <c r="E72" i="147"/>
  <c r="E92" i="147"/>
  <c r="E95" i="147" s="1"/>
  <c r="D82" i="147"/>
  <c r="C95" i="147"/>
  <c r="D84" i="147"/>
  <c r="B95" i="147"/>
  <c r="R39" i="147"/>
  <c r="E45" i="147"/>
  <c r="E46" i="147"/>
  <c r="E82" i="147"/>
  <c r="F101" i="147"/>
  <c r="E84" i="147"/>
  <c r="J82" i="147" l="1"/>
  <c r="P82" i="147"/>
  <c r="D31" i="137" l="1"/>
  <c r="D29" i="137"/>
  <c r="D30" i="137"/>
  <c r="D28" i="137"/>
  <c r="D24" i="143"/>
  <c r="D25" i="143"/>
  <c r="D26" i="143"/>
  <c r="D27" i="143"/>
  <c r="D23" i="143"/>
  <c r="D22" i="143"/>
  <c r="D19" i="143"/>
  <c r="D20" i="143"/>
  <c r="D21" i="143"/>
  <c r="D18" i="143"/>
  <c r="C26" i="143"/>
  <c r="C25" i="143"/>
  <c r="C22" i="143"/>
  <c r="C21" i="143"/>
  <c r="B21" i="143"/>
  <c r="B31" i="137"/>
  <c r="B30" i="137"/>
  <c r="B28" i="137"/>
  <c r="N29" i="137"/>
  <c r="B33" i="137" s="1"/>
  <c r="B29" i="137"/>
  <c r="N28" i="137"/>
  <c r="B32" i="137" s="1"/>
  <c r="O28" i="137"/>
  <c r="O29" i="137"/>
  <c r="G5" i="137"/>
  <c r="G6" i="137"/>
  <c r="G7" i="137"/>
  <c r="G8" i="137"/>
  <c r="C27" i="143" l="1"/>
  <c r="B25" i="143"/>
  <c r="B24" i="143"/>
  <c r="C24" i="143"/>
  <c r="C23" i="143"/>
  <c r="B23" i="143"/>
  <c r="B22" i="143"/>
  <c r="D33" i="137"/>
  <c r="D32" i="137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7" i="143"/>
  <c r="E18" i="143" l="1"/>
  <c r="E21" i="143"/>
  <c r="E20" i="143"/>
  <c r="E19" i="143"/>
  <c r="C10" i="145" l="1"/>
  <c r="I28" i="137"/>
  <c r="I27" i="137"/>
  <c r="E13" i="145" l="1"/>
  <c r="E12" i="145"/>
  <c r="B20" i="143"/>
  <c r="O27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9" i="143"/>
  <c r="F2" i="143"/>
  <c r="E2" i="143"/>
  <c r="R19" i="143" s="1"/>
  <c r="C2" i="143"/>
  <c r="Q9" i="143" s="1"/>
  <c r="B2" i="143"/>
  <c r="F2" i="145"/>
  <c r="E2" i="145"/>
  <c r="D10" i="145" s="1"/>
  <c r="G4" i="137"/>
  <c r="G3" i="137"/>
  <c r="C18" i="143"/>
  <c r="C20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7" i="137"/>
  <c r="L27" i="137"/>
  <c r="K48" i="133"/>
  <c r="I26" i="137"/>
  <c r="I25" i="137"/>
  <c r="D26" i="137"/>
  <c r="D25" i="137"/>
  <c r="B19" i="143"/>
  <c r="B18" i="143"/>
  <c r="C19" i="143"/>
  <c r="D2" i="143"/>
  <c r="N27" i="137" l="1"/>
  <c r="B27" i="137" s="1"/>
  <c r="D9" i="145"/>
  <c r="P9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8" i="143"/>
  <c r="R29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6" i="137"/>
  <c r="L25" i="137"/>
  <c r="G2" i="137"/>
  <c r="D2" i="137"/>
  <c r="O25" i="137" s="1"/>
  <c r="C2" i="137"/>
  <c r="I24" i="137" l="1"/>
  <c r="G24" i="137"/>
  <c r="N25" i="137"/>
  <c r="B25" i="137" s="1"/>
  <c r="N26" i="137"/>
  <c r="B26" i="137" s="1"/>
  <c r="O26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2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2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2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2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3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<sst xmlns="http://schemas.openxmlformats.org/spreadsheetml/2006/main" count="935" uniqueCount="471">
  <si>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</si>
  <si>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</si>
  <si>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</si>
  <si>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</si>
  <si>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</si>
  <si>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</si>
  <si>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</si>
  <si>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</si>
  <si>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</si>
  <si>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</si>
  <si>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</si>
  <si>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</si>
  <si>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</si>
  <si>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</si>
  <si>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</si>
  <si>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</si>
  <si>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</si>
  <si>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</si>
  <si>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</si>
  <si>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</si>
  <si>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</si>
  <si>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</si>
  <si>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</si>
  <si>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</si>
  <si>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</si>
  <si>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</si>
  <si>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</si>
  <si>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</si>
  <si>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</si>
  <si>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</si>
  <si>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</si>
  <si>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</si>
  <si>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</si>
  <si>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</si>
  <si>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</si>
  <si>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</si>
  <si>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</si>
  <si>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</si>
  <si>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</si>
  <si>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</si>
  <si>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</si>
  <si>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</si>
  <si>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</si>
  <si>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</si>
  <si>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</si>
  <si>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</si>
  <si>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</si>
  <si>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</si>
  <si>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</si>
  <si>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</si>
  <si>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</si>
  <si>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</si>
  <si>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</si>
  <si>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</si>
  <si>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</si>
  <si>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</si>
  <si>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</si>
  <si>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</si>
  <si>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</si>
  <si>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</si>
  <si>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</si>
  <si>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</si>
  <si>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</si>
  <si>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</si>
  <si>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</si>
  <si>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</si>
  <si>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</si>
  <si>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</si>
  <si>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</si>
  <si>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</si>
  <si>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</si>
  <si>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</si>
  <si>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</si>
  <si>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</si>
  <si>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</si>
  <si>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</si>
  <si>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</si>
  <si>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</si>
  <si>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</si>
  <si>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</si>
  <si>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</si>
  <si>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</si>
  <si>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</si>
  <si>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</si>
  <si>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</si>
  <si>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</si>
  <si>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</si>
  <si>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</si>
  <si>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</si>
  <si>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</si>
  <si>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</si>
  <si>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</si>
  <si>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</si>
  <si>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</si>
  <si>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</si>
  <si>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</si>
  <si>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</si>
  <si>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</si>
  <si>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</si>
  <si>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</si>
  <si>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</si>
  <si>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</si>
  <si>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</si>
  <si>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</si>
  <si>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</si>
  <si>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</si>
  <si>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</si>
  <si>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</si>
  <si>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</si>
  <si>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</si>
  <si>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</si>
  <si>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</si>
  <si>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</si>
  <si>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</si>
  <si>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</si>
  <si>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</si>
  <si>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</si>
  <si>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</si>
  <si>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</si>
  <si>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</si>
  <si>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</si>
  <si>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</si>
  <si>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</si>
  <si>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</si>
  <si>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</si>
  <si>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</si>
  <si>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</si>
  <si>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</si>
  <si>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</si>
  <si>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</si>
  <si>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</si>
  <si>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</si>
  <si>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</si>
  <si>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</si>
  <si>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</si>
  <si>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</si>
  <si>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</si>
  <si>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</si>
  <si>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</si>
  <si>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</si>
  <si>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</si>
  <si>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</si>
  <si>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</si>
  <si>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</si>
  <si>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</si>
  <si>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</si>
  <si>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</si>
  <si>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</si>
  <si>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</si>
  <si>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</si>
  <si>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</si>
  <si>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</si>
  <si>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</si>
  <si>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</si>
  <si>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</si>
  <si>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</si>
  <si>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</si>
  <si>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</si>
  <si>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</si>
  <si>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</si>
  <si>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</si>
  <si>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</si>
  <si>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</si>
  <si>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</si>
  <si>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</si>
  <si>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</si>
  <si>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</si>
  <si>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</si>
  <si>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</si>
  <si>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</si>
  <si>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</si>
  <si>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</si>
  <si>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</si>
  <si>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</si>
  <si>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</si>
  <si>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</si>
  <si>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</si>
  <si>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</si>
  <si>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</si>
  <si>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</si>
  <si>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</si>
  <si>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</si>
  <si>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</si>
  <si>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</si>
  <si>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</si>
  <si>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</si>
  <si>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</si>
  <si>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</si>
  <si>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</si>
  <si>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</si>
  <si>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</si>
  <si>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</si>
  <si>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</si>
  <si>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</si>
  <si>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</si>
  <si>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</si>
  <si>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</si>
  <si>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</si>
  <si>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</si>
  <si>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</si>
  <si>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</si>
  <si>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</si>
  <si>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</si>
  <si>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</si>
  <si>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</si>
  <si>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</si>
  <si>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</si>
  <si>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</si>
  <si>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</si>
  <si>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</si>
  <si>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</si>
  <si>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</si>
  <si>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</si>
  <si>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</si>
  <si>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</si>
  <si>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</si>
  <si>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</si>
  <si>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</si>
  <si>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</si>
  <si>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</si>
  <si>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</si>
  <si>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</si>
  <si>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</si>
  <si>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</si>
  <si>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</si>
  <si>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</si>
  <si>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</si>
  <si>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</si>
  <si>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</si>
  <si>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</si>
  <si>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</si>
  <si>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</si>
  <si>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</si>
  <si>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</si>
  <si>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</si>
  <si>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</si>
  <si>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</si>
  <si>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</si>
  <si>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</si>
  <si>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</si>
  <si>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</si>
  <si>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</si>
  <si>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</si>
  <si>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</si>
  <si>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</si>
  <si>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</si>
  <si>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</si>
  <si>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</si>
  <si>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</si>
  <si>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</si>
  <si>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</si>
  <si>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</si>
  <si>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</si>
  <si>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</si>
  <si>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</si>
  <si>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</si>
  <si>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</si>
  <si>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</si>
  <si>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</si>
  <si>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</si>
  <si>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</si>
  <si>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</si>
  <si>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</si>
  <si>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</si>
  <si>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</si>
  <si>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</si>
  <si>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</si>
  <si>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</si>
  <si>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WINDELC</t>
  </si>
  <si>
    <t>SOLELC</t>
  </si>
  <si>
    <t>Wind Electricity</t>
  </si>
  <si>
    <t>Solar Electricity</t>
  </si>
  <si>
    <t>SOLTHT</t>
  </si>
  <si>
    <t>Solar thermal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</si>
  <si>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</si>
  <si>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</si>
  <si>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</si>
  <si>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</si>
  <si>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</si>
  <si>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</si>
  <si>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</si>
  <si>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</si>
  <si>
    <t>MANDRIVE</t>
  </si>
  <si>
    <t>Manufacturing non-process electricity supply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</si>
  <si>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</si>
  <si>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</si>
  <si>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</si>
  <si>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BIOMIN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</si>
  <si>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GASMIN</t>
    </r>
  </si>
  <si>
    <t>WNDTRBN</t>
  </si>
  <si>
    <t>Wind turbine</t>
  </si>
  <si>
    <t>SOLPV</t>
  </si>
  <si>
    <t>Solar PV</t>
  </si>
  <si>
    <t>Solar themal</t>
  </si>
  <si>
    <t>Manufacturing CO2</t>
  </si>
  <si>
    <t>ktoe</t>
  </si>
  <si>
    <t>MANCO2</t>
  </si>
  <si>
    <r>
      <t>Projected energy demand by sector</t>
    </r>
    <r>
      <rPr>
        <sz val="12"/>
        <color theme="1"/>
        <rFont val="Times New Roman"/>
        <family val="1"/>
      </rPr>
      <t>(Asfaw et al. 2024)</t>
    </r>
  </si>
  <si>
    <r>
      <t>Electricity demand projections</t>
    </r>
    <r>
      <rPr>
        <i/>
        <sz val="12"/>
        <color rgb="FF0E2841"/>
        <rFont val="Times New Roman"/>
        <family val="1"/>
      </rPr>
      <t xml:space="preserve">(Gebremeskel et al. 2023) </t>
    </r>
  </si>
  <si>
    <t>Transport sector</t>
  </si>
  <si>
    <t>Industry and construction</t>
  </si>
  <si>
    <t>Household and other sectors</t>
  </si>
  <si>
    <t>Electricity consumption in (TWh)</t>
  </si>
  <si>
    <t>Electricity consumption in (ktoe)</t>
  </si>
  <si>
    <t xml:space="preserve">Assumed GDP growth rate </t>
  </si>
  <si>
    <t>7,5</t>
  </si>
  <si>
    <t>8,5</t>
  </si>
  <si>
    <t xml:space="preserve">Sector </t>
  </si>
  <si>
    <t>Energy demand prediction by sector(ktoe)</t>
  </si>
  <si>
    <t>Household</t>
  </si>
  <si>
    <t>Agriculture</t>
  </si>
  <si>
    <t>Export</t>
  </si>
  <si>
    <t>Energy demand prediction by sector(TJ)</t>
  </si>
  <si>
    <t>Actual Data</t>
  </si>
  <si>
    <t>Base year</t>
  </si>
  <si>
    <t xml:space="preserve">Projection </t>
  </si>
  <si>
    <t>Industry energy consumption projection(GWh) Reference Scenario</t>
  </si>
  <si>
    <t>Total Energy demand projection of Asfaw 2023</t>
  </si>
  <si>
    <t>The projection in 2050 is the avarge of Asfaw(2023) 2048 and 2052 projection</t>
  </si>
  <si>
    <t>Industry electricity demand projection</t>
  </si>
  <si>
    <t>Total electricity demand projections of (Gebremeskel et al. 2023) for 2030 and 2050</t>
  </si>
  <si>
    <t>Industry sector oilandcoal consumption</t>
  </si>
  <si>
    <t>% of electricity consumption in the Industry sector</t>
  </si>
  <si>
    <t>%  of other energy source consumption in the Industry</t>
  </si>
  <si>
    <t>Industry Percent of total energy consumption growth between 2022 and 2050</t>
  </si>
  <si>
    <t>Industry Electricity consumption growth between 2022 and 2050</t>
  </si>
  <si>
    <t>Industry Coal, oil and other energy consumption growth between 2050 and 2022</t>
  </si>
  <si>
    <t xml:space="preserve">Electricity consumption </t>
  </si>
  <si>
    <t>95% of electricity is consumed in the manufacturing sector</t>
  </si>
  <si>
    <t>Oil and coal</t>
  </si>
  <si>
    <t>The growth of oil and coal consumption between 2022 and 2050 in the industry sector is used to the demand of oil and coal in the manufacturing sector</t>
  </si>
  <si>
    <t>Assume the oil consumption share keeps the same between 2022 and 2050</t>
  </si>
  <si>
    <t>Coal domestic</t>
  </si>
  <si>
    <t>Assume the domestic coal consumption share increased from 44% to 80% between 2022 and 2050 in the baseline</t>
  </si>
  <si>
    <t>Coal imported</t>
  </si>
  <si>
    <t>Coal total</t>
  </si>
  <si>
    <t xml:space="preserve">% non/electricity consumption of Manufacturing sector </t>
  </si>
  <si>
    <t>Electricity consumption share (%)</t>
  </si>
  <si>
    <t>Electricity consumption growth in the Manufacturing sectorbetween 2022 and 2050</t>
  </si>
  <si>
    <t>Industry Electric Consumption in TJ</t>
  </si>
  <si>
    <t>Industry imported coal in TJ</t>
  </si>
  <si>
    <t>Industry domestic coal in TJ</t>
  </si>
  <si>
    <t>Industry oil in TJ</t>
  </si>
  <si>
    <t>Total Industry Consumption</t>
  </si>
  <si>
    <t>Manufacturing Electricity in TJ</t>
  </si>
  <si>
    <t>Manufacturing oil imported in TJ</t>
  </si>
  <si>
    <t>Manufacturing coal domestic in TJ</t>
  </si>
  <si>
    <t>Manufacturing coal imported in TJ</t>
  </si>
  <si>
    <t>Non/manufacturing sector Electricity Consumption TJ</t>
  </si>
  <si>
    <t>Non/manufacturing sector oil Consumption TJ</t>
  </si>
  <si>
    <t>Reference Scenario</t>
  </si>
  <si>
    <t>CAGR</t>
  </si>
  <si>
    <t>Average of 2028 and 2032</t>
  </si>
  <si>
    <t>Average of 2048 and 2053</t>
  </si>
  <si>
    <t>Total Industry Consumption in GWh</t>
  </si>
  <si>
    <t>Projected Industry Sector energy demand in reference scenario(Asfaw)</t>
  </si>
  <si>
    <t>Total Industry Electricity in GWh</t>
  </si>
  <si>
    <t>Total fossilfuel Consumption in GWh</t>
  </si>
  <si>
    <t>Manufacturing Electricity consumption in GWh</t>
  </si>
  <si>
    <t>Electricity consumption projection of manufacturing sector 95% of electricity consumption demand of industry sector</t>
  </si>
  <si>
    <t>Manufacturing Oil Consumption in GWh</t>
  </si>
  <si>
    <t>Manufacturing Imported Coal Consumption in GWh</t>
  </si>
  <si>
    <t>Manufacturing Domestic  Coal Consumption in GWh</t>
  </si>
  <si>
    <t>Oil and coal manufacturing sector consumption total</t>
  </si>
  <si>
    <t>Non/Manufacturing sector Electricity consumption in GWh</t>
  </si>
  <si>
    <t>Non-Manufacturing sector oil consumption in GWh</t>
  </si>
  <si>
    <t>Manufacturing sector Electricity consumption share</t>
  </si>
  <si>
    <t>Manufacturing sector Oil consumption share</t>
  </si>
  <si>
    <t>Manufacturing sector imported Coal consumption share</t>
  </si>
  <si>
    <t>Manufacturing sector domestic coalconsumption share</t>
  </si>
  <si>
    <t>Manufacturing sector fossilfuel consumption</t>
  </si>
  <si>
    <t>Non-Manufacturing electricity consumptionshare</t>
  </si>
  <si>
    <t>Non-Manufacturing oil consumptionshare</t>
  </si>
  <si>
    <t>Non/manufacturing sector fossilfuel consumption share</t>
  </si>
  <si>
    <t>Manufacturing Sector electricity consumption share as percent of total energy consumption of the industry sector</t>
  </si>
  <si>
    <t>Manufacturing Sector Oil consumption share as percent of total energy consumption of the industry sector</t>
  </si>
  <si>
    <t>Manufacturing Sector Coal consumption share as percent of total energy consumption of the industry sector</t>
  </si>
  <si>
    <t>Oil consumption as percent of total fossilfuels</t>
  </si>
  <si>
    <t>Domestic coal consumption as percent of total fossilfuels</t>
  </si>
  <si>
    <t>Imported coal consumption as percent of total fossilfuels</t>
  </si>
  <si>
    <t>Non-manufacturing sector electricity consumptionshare</t>
  </si>
  <si>
    <t>Non-manufacturing sector oil consumptionshare</t>
  </si>
  <si>
    <t>Growth rate of electricity consumption</t>
  </si>
  <si>
    <t>Growth rate of oil consumption</t>
  </si>
  <si>
    <t>Growth rate of imported coal consumption</t>
  </si>
  <si>
    <t>Growthrate of domestic coal consumption</t>
  </si>
  <si>
    <t>Structural Economic Growth scenario</t>
  </si>
  <si>
    <t>High economic growth rate scenario energy demand projection from asfaw 10.5 %GDP growth rate</t>
  </si>
  <si>
    <t>Manufacturing sector total energy consumption</t>
  </si>
  <si>
    <t>Assumption manufacturing sector energy consumption reaches about30% total energy consumption of the manufacturing sector</t>
  </si>
  <si>
    <t>Growthrate</t>
  </si>
  <si>
    <t>Average</t>
  </si>
  <si>
    <t>Africa</t>
  </si>
  <si>
    <t>World</t>
  </si>
  <si>
    <t>Installation Cost per kW</t>
  </si>
  <si>
    <t>Hydro</t>
  </si>
  <si>
    <t>2024USD</t>
  </si>
  <si>
    <t>LCOE per kWh</t>
  </si>
  <si>
    <t>Technology learning rate</t>
  </si>
  <si>
    <t>Cost reduction elasticity</t>
  </si>
  <si>
    <t xml:space="preserve">Solar-Wind </t>
  </si>
  <si>
    <t>PV-Battery</t>
  </si>
  <si>
    <t>Capacity Factor</t>
  </si>
  <si>
    <t>Ethiopia</t>
  </si>
  <si>
    <t>Wold</t>
  </si>
  <si>
    <t>Minimum</t>
  </si>
  <si>
    <t>Avarage</t>
  </si>
  <si>
    <t>Maximum</t>
  </si>
  <si>
    <t>Grid Electricity</t>
  </si>
  <si>
    <t>Mini grid electricity</t>
  </si>
  <si>
    <t>IRENA 2025</t>
  </si>
  <si>
    <t xml:space="preserve">Source </t>
  </si>
  <si>
    <t>Solar PV/roof top</t>
  </si>
  <si>
    <t>2018USD</t>
  </si>
  <si>
    <t>Wind/smal</t>
  </si>
  <si>
    <t>Solar PV utility</t>
  </si>
  <si>
    <t>Wind Utility</t>
  </si>
  <si>
    <t>Gebremeskel 2023</t>
  </si>
  <si>
    <t>CSP(storage)</t>
  </si>
  <si>
    <t>Variable Costper KWh</t>
  </si>
  <si>
    <t>Fixed cost per kW</t>
  </si>
  <si>
    <t>Cpacity Factor</t>
  </si>
  <si>
    <t>%</t>
  </si>
  <si>
    <t xml:space="preserve">Avalability Factor </t>
  </si>
  <si>
    <t>Capacity Credit</t>
  </si>
  <si>
    <t>Life cycle</t>
  </si>
  <si>
    <t>CO2 emission</t>
  </si>
  <si>
    <t>kg/kWh</t>
  </si>
  <si>
    <t>Nox emission</t>
  </si>
  <si>
    <t>Fuel Type</t>
  </si>
  <si>
    <t>Fuel Price</t>
  </si>
  <si>
    <t>USD/GWh</t>
  </si>
  <si>
    <t>Coal Domestic</t>
  </si>
  <si>
    <t>Oil import(Diesel)</t>
  </si>
  <si>
    <t>Oilimported</t>
  </si>
  <si>
    <t>Natural Gas imported</t>
  </si>
  <si>
    <t>Customs 2022</t>
  </si>
  <si>
    <t>Customs 2023</t>
  </si>
  <si>
    <t>Customs 2024</t>
  </si>
  <si>
    <t>Bioenergy/Biomass</t>
  </si>
  <si>
    <t>Economic Life</t>
  </si>
  <si>
    <t>O&amp;M Cost</t>
  </si>
  <si>
    <t>Avergae</t>
  </si>
  <si>
    <t>Gebremeskel 2024</t>
  </si>
  <si>
    <t>Gebremeskel 2025</t>
  </si>
  <si>
    <t>Gebremeskel 2026</t>
  </si>
  <si>
    <t>Gebremeskel 2032</t>
  </si>
  <si>
    <t>Gebremeskel 2033</t>
  </si>
  <si>
    <t>Gebremeskel 2034</t>
  </si>
  <si>
    <t>Gebremeskel 2035</t>
  </si>
  <si>
    <t>USD2024/kWh</t>
  </si>
  <si>
    <t>Battry Energy Storage</t>
  </si>
  <si>
    <t>Technology</t>
  </si>
  <si>
    <t>Bioenergy/Biogas</t>
  </si>
  <si>
    <t xml:space="preserve">Efficency </t>
  </si>
  <si>
    <t>Sliper 2024</t>
  </si>
  <si>
    <t>Biomass Boiler</t>
  </si>
  <si>
    <t>(Alem Tafesse 2016)</t>
  </si>
  <si>
    <t>Electricity Boiler</t>
  </si>
  <si>
    <t>Oilboiler</t>
  </si>
  <si>
    <t>Existing measured in Ethiopia</t>
  </si>
  <si>
    <t>(Yosef and Bekele)</t>
  </si>
  <si>
    <t>(Abdi et al. 2021)</t>
  </si>
  <si>
    <t>Kiln1</t>
  </si>
  <si>
    <t>(Emyat 2019)</t>
  </si>
  <si>
    <t>(Eshetu Wondimu 2010)</t>
  </si>
  <si>
    <t>(Adino et al. 2024)</t>
  </si>
  <si>
    <t>Oilboiler1</t>
  </si>
  <si>
    <t>Oilboiler2</t>
  </si>
  <si>
    <t>(Samuel  G/Mariam 2009)</t>
  </si>
  <si>
    <t>Oilboiler3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</si>
</sst>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General_)"/>
    <numFmt numFmtId="166" formatCode="\Te\x\t"/>
    <numFmt numFmtId="167" formatCode="0.0"/>
    <numFmt numFmtId="168" formatCode="0.000%"/>
    <numFmt numFmtId="169" formatCode="0.0000%"/>
    <numFmt numFmtId="170" formatCode="0.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sz val="12"/>
      <color rgb="FF0E2841"/>
      <name val="Times New Roman"/>
      <family val="1"/>
    </font>
    <font>
      <i/>
      <sz val="12"/>
      <color rgb="FF0E284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name val="Times New Roman"/>
      <family val="1"/>
    </font>
    <font>
      <sz val="8"/>
      <name val="Arial"/>
    </font>
    <font>
      <sz val="1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0" applyNumberFormat="0" applyAlignment="0" applyProtection="0"/>
    <xf numFmtId="164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0" applyNumberFormat="0" applyAlignment="0" applyProtection="0"/>
    <xf numFmtId="0" fontId="21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4" fillId="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0" borderId="0"/>
    <xf numFmtId="0" fontId="35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277">
    <xf numFmtId="0" fontId="0" fillId="0" borderId="0" xfId="0"/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7" fillId="5" borderId="0" xfId="3"/>
    <xf numFmtId="0" fontId="22" fillId="10" borderId="0" xfId="6" applyFon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4" fillId="0" borderId="0" xfId="0" applyFont="1"/>
    <xf numFmtId="0" fontId="9" fillId="0" borderId="5" xfId="0" applyFont="1" applyBorder="1"/>
    <xf numFmtId="0" fontId="9" fillId="0" borderId="6" xfId="0" applyFont="1" applyBorder="1"/>
    <xf numFmtId="9" fontId="25" fillId="0" borderId="6" xfId="16" applyFont="1" applyBorder="1" applyAlignment="1"/>
    <xf numFmtId="0" fontId="9" fillId="0" borderId="7" xfId="0" applyFont="1" applyBorder="1"/>
    <xf numFmtId="9" fontId="25" fillId="0" borderId="7" xfId="16" applyFont="1" applyBorder="1" applyAlignment="1"/>
    <xf numFmtId="9" fontId="25" fillId="0" borderId="0" xfId="16" applyFont="1" applyBorder="1" applyAlignment="1"/>
    <xf numFmtId="0" fontId="17" fillId="5" borderId="0" xfId="3" applyAlignment="1">
      <alignment wrapText="1"/>
    </xf>
    <xf numFmtId="0" fontId="8" fillId="0" borderId="0" xfId="0" applyFont="1"/>
    <xf numFmtId="1" fontId="9" fillId="0" borderId="0" xfId="9" applyNumberFormat="1"/>
    <xf numFmtId="0" fontId="8" fillId="0" borderId="2" xfId="0" applyFont="1" applyBorder="1" applyAlignment="1">
      <alignment horizontal="center" wrapText="1"/>
    </xf>
    <xf numFmtId="0" fontId="26" fillId="0" borderId="0" xfId="0" applyFont="1"/>
    <xf numFmtId="0" fontId="22" fillId="10" borderId="0" xfId="6" applyFont="1" applyFill="1" applyAlignment="1">
      <alignment horizontal="left"/>
    </xf>
    <xf numFmtId="1" fontId="0" fillId="11" borderId="0" xfId="0" applyNumberFormat="1" applyFill="1"/>
    <xf numFmtId="1" fontId="8" fillId="11" borderId="0" xfId="0" applyNumberFormat="1" applyFont="1" applyFill="1"/>
    <xf numFmtId="0" fontId="26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wrapText="1"/>
    </xf>
    <xf numFmtId="0" fontId="26" fillId="12" borderId="0" xfId="0" applyFont="1" applyFill="1"/>
    <xf numFmtId="1" fontId="0" fillId="13" borderId="0" xfId="0" applyNumberFormat="1" applyFill="1"/>
    <xf numFmtId="1" fontId="8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8" fillId="14" borderId="0" xfId="0" applyNumberFormat="1" applyFont="1" applyFill="1"/>
    <xf numFmtId="1" fontId="20" fillId="8" borderId="0" xfId="7" applyNumberFormat="1" applyBorder="1" applyAlignment="1"/>
    <xf numFmtId="1" fontId="18" fillId="6" borderId="4" xfId="4" applyNumberFormat="1" applyBorder="1" applyAlignment="1">
      <alignment horizontal="right"/>
    </xf>
    <xf numFmtId="1" fontId="20" fillId="8" borderId="4" xfId="7" applyNumberFormat="1" applyBorder="1" applyAlignment="1"/>
    <xf numFmtId="165" fontId="18" fillId="6" borderId="5" xfId="4" applyNumberFormat="1" applyBorder="1" applyAlignment="1">
      <alignment horizontal="right" vertical="center"/>
    </xf>
    <xf numFmtId="0" fontId="8" fillId="0" borderId="2" xfId="0" applyFont="1" applyBorder="1"/>
    <xf numFmtId="1" fontId="18" fillId="6" borderId="11" xfId="4" applyNumberFormat="1" applyBorder="1" applyAlignment="1">
      <alignment horizontal="right"/>
    </xf>
    <xf numFmtId="1" fontId="18" fillId="6" borderId="12" xfId="4" applyNumberFormat="1" applyBorder="1" applyAlignment="1">
      <alignment horizontal="right"/>
    </xf>
    <xf numFmtId="165" fontId="14" fillId="13" borderId="6" xfId="0" applyNumberFormat="1" applyFont="1" applyFill="1" applyBorder="1" applyAlignment="1">
      <alignment horizontal="left" vertical="center"/>
    </xf>
    <xf numFmtId="165" fontId="14" fillId="13" borderId="8" xfId="0" applyNumberFormat="1" applyFont="1" applyFill="1" applyBorder="1" applyAlignment="1">
      <alignment horizontal="left" vertical="center"/>
    </xf>
    <xf numFmtId="165" fontId="14" fillId="14" borderId="6" xfId="0" applyNumberFormat="1" applyFont="1" applyFill="1" applyBorder="1" applyAlignment="1">
      <alignment horizontal="left" vertical="center"/>
    </xf>
    <xf numFmtId="165" fontId="14" fillId="14" borderId="8" xfId="0" applyNumberFormat="1" applyFont="1" applyFill="1" applyBorder="1" applyAlignment="1">
      <alignment horizontal="left" vertical="center"/>
    </xf>
    <xf numFmtId="165" fontId="14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9" fillId="13" borderId="0" xfId="8" applyFont="1" applyFill="1"/>
    <xf numFmtId="2" fontId="9" fillId="13" borderId="0" xfId="0" applyNumberFormat="1" applyFont="1" applyFill="1"/>
    <xf numFmtId="0" fontId="27" fillId="0" borderId="0" xfId="0" applyFont="1"/>
    <xf numFmtId="0" fontId="8" fillId="16" borderId="0" xfId="0" applyFont="1" applyFill="1"/>
    <xf numFmtId="0" fontId="22" fillId="10" borderId="0" xfId="6" applyFont="1" applyFill="1" applyAlignment="1">
      <alignment wrapText="1"/>
    </xf>
    <xf numFmtId="0" fontId="22" fillId="0" borderId="0" xfId="6" applyFont="1" applyFill="1"/>
    <xf numFmtId="0" fontId="8" fillId="2" borderId="1" xfId="11" applyFont="1" applyFill="1" applyBorder="1" applyAlignment="1">
      <alignment horizontal="left" vertical="center"/>
    </xf>
    <xf numFmtId="0" fontId="17" fillId="4" borderId="0" xfId="2"/>
    <xf numFmtId="0" fontId="0" fillId="0" borderId="4" xfId="0" applyBorder="1"/>
    <xf numFmtId="1" fontId="20" fillId="8" borderId="1" xfId="7" applyNumberFormat="1" applyBorder="1" applyAlignment="1"/>
    <xf numFmtId="1" fontId="18" fillId="6" borderId="13" xfId="4" applyNumberFormat="1" applyBorder="1" applyAlignment="1">
      <alignment horizontal="right"/>
    </xf>
    <xf numFmtId="165" fontId="13" fillId="0" borderId="5" xfId="0" applyNumberFormat="1" applyFont="1" applyBorder="1" applyAlignment="1">
      <alignment horizontal="left" vertical="center"/>
    </xf>
    <xf numFmtId="165" fontId="14" fillId="11" borderId="8" xfId="0" applyNumberFormat="1" applyFont="1" applyFill="1" applyBorder="1" applyAlignment="1">
      <alignment horizontal="left" vertical="center"/>
    </xf>
    <xf numFmtId="165" fontId="13" fillId="0" borderId="7" xfId="0" applyNumberFormat="1" applyFont="1" applyBorder="1" applyAlignment="1">
      <alignment horizontal="left" vertical="center"/>
    </xf>
    <xf numFmtId="0" fontId="9" fillId="0" borderId="0" xfId="8" applyFont="1" applyFill="1"/>
    <xf numFmtId="2" fontId="9" fillId="0" borderId="0" xfId="0" applyNumberFormat="1" applyFont="1"/>
    <xf numFmtId="0" fontId="8" fillId="2" borderId="1" xfId="0" applyFont="1" applyFill="1" applyBorder="1" applyAlignment="1">
      <alignment horizontal="center"/>
    </xf>
    <xf numFmtId="166" fontId="10" fillId="0" borderId="0" xfId="0" applyNumberFormat="1" applyFont="1"/>
    <xf numFmtId="166" fontId="9" fillId="0" borderId="0" xfId="0" applyNumberFormat="1" applyFont="1"/>
    <xf numFmtId="166" fontId="8" fillId="2" borderId="1" xfId="0" applyNumberFormat="1" applyFont="1" applyFill="1" applyBorder="1" applyAlignment="1">
      <alignment horizontal="left"/>
    </xf>
    <xf numFmtId="166" fontId="8" fillId="2" borderId="4" xfId="0" applyNumberFormat="1" applyFont="1" applyFill="1" applyBorder="1" applyAlignment="1">
      <alignment horizontal="left"/>
    </xf>
    <xf numFmtId="166" fontId="23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3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8" fillId="6" borderId="2" xfId="4" applyNumberFormat="1" applyBorder="1" applyAlignment="1">
      <alignment horizontal="right"/>
    </xf>
    <xf numFmtId="1" fontId="18" fillId="6" borderId="14" xfId="4" applyNumberFormat="1" applyBorder="1" applyAlignment="1">
      <alignment horizontal="right"/>
    </xf>
    <xf numFmtId="165" fontId="14" fillId="14" borderId="1" xfId="0" applyNumberFormat="1" applyFont="1" applyFill="1" applyBorder="1" applyAlignment="1">
      <alignment horizontal="left" vertical="center"/>
    </xf>
    <xf numFmtId="165" fontId="14" fillId="14" borderId="2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23" fillId="3" borderId="0" xfId="1" applyFont="1" applyBorder="1" applyAlignment="1">
      <alignment horizontal="left" wrapText="1"/>
    </xf>
    <xf numFmtId="0" fontId="23" fillId="3" borderId="0" xfId="1" applyFont="1" applyBorder="1" applyAlignment="1">
      <alignment horizontal="center" wrapText="1"/>
    </xf>
    <xf numFmtId="0" fontId="22" fillId="17" borderId="0" xfId="6" applyFont="1" applyFill="1"/>
    <xf numFmtId="0" fontId="26" fillId="12" borderId="15" xfId="0" applyFont="1" applyFill="1" applyBorder="1" applyAlignment="1">
      <alignment wrapText="1"/>
    </xf>
    <xf numFmtId="0" fontId="26" fillId="12" borderId="5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0" fontId="8" fillId="12" borderId="17" xfId="0" applyFont="1" applyFill="1" applyBorder="1" applyAlignment="1">
      <alignment wrapText="1"/>
    </xf>
    <xf numFmtId="0" fontId="8" fillId="12" borderId="6" xfId="0" applyFont="1" applyFill="1" applyBorder="1" applyAlignment="1">
      <alignment wrapText="1"/>
    </xf>
    <xf numFmtId="165" fontId="14" fillId="14" borderId="15" xfId="0" applyNumberFormat="1" applyFont="1" applyFill="1" applyBorder="1" applyAlignment="1">
      <alignment horizontal="center" vertical="center"/>
    </xf>
    <xf numFmtId="165" fontId="14" fillId="14" borderId="5" xfId="0" applyNumberFormat="1" applyFont="1" applyFill="1" applyBorder="1" applyAlignment="1">
      <alignment horizontal="center" vertical="center"/>
    </xf>
    <xf numFmtId="165" fontId="14" fillId="14" borderId="16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wrapText="1"/>
    </xf>
    <xf numFmtId="1" fontId="25" fillId="15" borderId="0" xfId="0" applyNumberFormat="1" applyFont="1" applyFill="1"/>
    <xf numFmtId="1" fontId="25" fillId="13" borderId="0" xfId="8" applyNumberFormat="1" applyFont="1" applyFill="1"/>
    <xf numFmtId="0" fontId="9" fillId="0" borderId="0" xfId="9"/>
    <xf numFmtId="166" fontId="10" fillId="0" borderId="0" xfId="9" applyNumberFormat="1" applyFont="1"/>
    <xf numFmtId="166" fontId="9" fillId="0" borderId="0" xfId="9" applyNumberFormat="1"/>
    <xf numFmtId="166" fontId="8" fillId="2" borderId="1" xfId="9" applyNumberFormat="1" applyFont="1" applyFill="1" applyBorder="1" applyAlignment="1">
      <alignment horizontal="left"/>
    </xf>
    <xf numFmtId="166" fontId="8" fillId="2" borderId="4" xfId="9" applyNumberFormat="1" applyFont="1" applyFill="1" applyBorder="1" applyAlignment="1">
      <alignment horizontal="left"/>
    </xf>
    <xf numFmtId="166" fontId="23" fillId="3" borderId="3" xfId="23" applyNumberFormat="1" applyFont="1" applyBorder="1" applyAlignment="1">
      <alignment horizontal="left" wrapText="1"/>
    </xf>
    <xf numFmtId="0" fontId="25" fillId="0" borderId="0" xfId="9" applyFont="1"/>
    <xf numFmtId="0" fontId="8" fillId="2" borderId="1" xfId="11" applyFont="1" applyFill="1" applyBorder="1" applyAlignment="1">
      <alignment horizontal="center" vertical="center" wrapText="1"/>
    </xf>
    <xf numFmtId="0" fontId="8" fillId="2" borderId="1" xfId="12" applyFont="1" applyFill="1" applyBorder="1" applyAlignment="1">
      <alignment horizontal="center" vertical="center" wrapText="1"/>
    </xf>
    <xf numFmtId="0" fontId="8" fillId="2" borderId="0" xfId="11" applyFont="1" applyFill="1" applyAlignment="1">
      <alignment horizontal="center" vertical="center" wrapText="1"/>
    </xf>
    <xf numFmtId="0" fontId="23" fillId="3" borderId="1" xfId="23" applyFont="1" applyBorder="1" applyAlignment="1">
      <alignment horizontal="left" wrapText="1"/>
    </xf>
    <xf numFmtId="0" fontId="23" fillId="3" borderId="4" xfId="23" applyFont="1" applyBorder="1" applyAlignment="1">
      <alignment horizontal="left" wrapText="1"/>
    </xf>
    <xf numFmtId="0" fontId="23" fillId="3" borderId="0" xfId="23" applyFont="1" applyBorder="1" applyAlignment="1">
      <alignment horizontal="left" wrapText="1"/>
    </xf>
    <xf numFmtId="0" fontId="23" fillId="3" borderId="3" xfId="23" applyFont="1" applyBorder="1" applyAlignment="1">
      <alignment horizontal="left" wrapText="1"/>
    </xf>
    <xf numFmtId="0" fontId="23" fillId="3" borderId="3" xfId="23" applyFont="1" applyBorder="1" applyAlignment="1">
      <alignment horizontal="center" wrapText="1"/>
    </xf>
    <xf numFmtId="0" fontId="23" fillId="3" borderId="9" xfId="23" applyFont="1" applyBorder="1" applyAlignment="1">
      <alignment horizontal="center" wrapText="1"/>
    </xf>
    <xf numFmtId="0" fontId="23" fillId="3" borderId="0" xfId="23" applyFont="1" applyBorder="1" applyAlignment="1">
      <alignment horizontal="center" wrapText="1"/>
    </xf>
    <xf numFmtId="9" fontId="9" fillId="15" borderId="0" xfId="24" applyFont="1" applyFill="1"/>
    <xf numFmtId="2" fontId="9" fillId="13" borderId="0" xfId="9" applyNumberFormat="1" applyFill="1"/>
    <xf numFmtId="0" fontId="9" fillId="13" borderId="0" xfId="9" applyFill="1"/>
    <xf numFmtId="2" fontId="9" fillId="0" borderId="0" xfId="9" applyNumberFormat="1"/>
    <xf numFmtId="9" fontId="9" fillId="0" borderId="0" xfId="9" applyNumberFormat="1"/>
    <xf numFmtId="9" fontId="0" fillId="0" borderId="0" xfId="24" applyFont="1"/>
    <xf numFmtId="0" fontId="9" fillId="15" borderId="0" xfId="9" applyFill="1"/>
    <xf numFmtId="9" fontId="0" fillId="0" borderId="0" xfId="16" applyFont="1"/>
    <xf numFmtId="0" fontId="9" fillId="17" borderId="0" xfId="9" applyFill="1"/>
    <xf numFmtId="166" fontId="9" fillId="17" borderId="0" xfId="9" applyNumberFormat="1" applyFill="1"/>
    <xf numFmtId="9" fontId="0" fillId="0" borderId="0" xfId="0" applyNumberFormat="1"/>
    <xf numFmtId="2" fontId="9" fillId="15" borderId="0" xfId="0" applyNumberFormat="1" applyFont="1" applyFill="1"/>
    <xf numFmtId="0" fontId="8" fillId="2" borderId="1" xfId="0" applyFont="1" applyFill="1" applyBorder="1" applyAlignment="1">
      <alignment vertical="center"/>
    </xf>
    <xf numFmtId="0" fontId="10" fillId="0" borderId="0" xfId="0" applyFont="1"/>
    <xf numFmtId="0" fontId="23" fillId="3" borderId="3" xfId="31" applyFont="1" applyBorder="1" applyAlignment="1">
      <alignment horizontal="left" wrapText="1"/>
    </xf>
    <xf numFmtId="0" fontId="23" fillId="3" borderId="1" xfId="31" applyFont="1" applyBorder="1" applyAlignment="1">
      <alignment horizontal="left" wrapText="1"/>
    </xf>
    <xf numFmtId="0" fontId="9" fillId="0" borderId="18" xfId="0" applyFont="1" applyBorder="1"/>
    <xf numFmtId="0" fontId="0" fillId="13" borderId="0" xfId="0" applyFill="1"/>
    <xf numFmtId="1" fontId="9" fillId="15" borderId="0" xfId="8" applyNumberFormat="1" applyFont="1" applyFill="1"/>
    <xf numFmtId="0" fontId="8" fillId="0" borderId="0" xfId="0" applyFont="1" applyAlignment="1">
      <alignment vertical="center"/>
    </xf>
    <xf numFmtId="0" fontId="23" fillId="0" borderId="0" xfId="31" applyFont="1" applyFill="1" applyBorder="1" applyAlignment="1">
      <alignment horizontal="left" wrapText="1"/>
    </xf>
    <xf numFmtId="1" fontId="20" fillId="8" borderId="10" xfId="7" applyNumberFormat="1"/>
    <xf numFmtId="0" fontId="23" fillId="3" borderId="1" xfId="1" applyFont="1" applyBorder="1" applyAlignment="1">
      <alignment horizontal="left" wrapText="1"/>
    </xf>
    <xf numFmtId="2" fontId="0" fillId="15" borderId="0" xfId="0" applyNumberFormat="1" applyFill="1"/>
    <xf numFmtId="0" fontId="9" fillId="0" borderId="2" xfId="9" applyBorder="1"/>
    <xf numFmtId="2" fontId="0" fillId="15" borderId="2" xfId="0" applyNumberFormat="1" applyFill="1" applyBorder="1"/>
    <xf numFmtId="0" fontId="25" fillId="13" borderId="0" xfId="9" applyFont="1" applyFill="1"/>
    <xf numFmtId="0" fontId="29" fillId="18" borderId="0" xfId="0" quotePrefix="1" applyFont="1" applyFill="1"/>
    <xf numFmtId="0" fontId="29" fillId="0" borderId="0" xfId="0" quotePrefix="1" applyFont="1"/>
    <xf numFmtId="0" fontId="10" fillId="0" borderId="0" xfId="0" applyFont="1" applyAlignment="1">
      <alignment horizontal="left"/>
    </xf>
    <xf numFmtId="0" fontId="29" fillId="0" borderId="0" xfId="0" applyFont="1"/>
    <xf numFmtId="0" fontId="8" fillId="2" borderId="3" xfId="11" applyFont="1" applyFill="1" applyBorder="1" applyAlignment="1">
      <alignment horizontal="left" vertical="center"/>
    </xf>
    <xf numFmtId="0" fontId="23" fillId="3" borderId="3" xfId="33" applyFont="1" applyBorder="1" applyAlignment="1">
      <alignment horizontal="left" wrapText="1"/>
    </xf>
    <xf numFmtId="0" fontId="8" fillId="0" borderId="0" xfId="11" applyFont="1" applyAlignment="1">
      <alignment horizontal="left" vertical="center"/>
    </xf>
    <xf numFmtId="2" fontId="0" fillId="13" borderId="0" xfId="0" applyNumberFormat="1" applyFill="1"/>
    <xf numFmtId="9" fontId="9" fillId="15" borderId="0" xfId="16" applyFont="1" applyFill="1"/>
    <xf numFmtId="0" fontId="6" fillId="0" borderId="18" xfId="0" applyFont="1" applyBorder="1"/>
    <xf numFmtId="0" fontId="26" fillId="19" borderId="0" xfId="0" applyFont="1" applyFill="1"/>
    <xf numFmtId="165" fontId="14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8" fillId="19" borderId="0" xfId="0" applyNumberFormat="1" applyFont="1" applyFill="1"/>
    <xf numFmtId="0" fontId="0" fillId="19" borderId="0" xfId="0" applyFill="1"/>
    <xf numFmtId="0" fontId="8" fillId="2" borderId="0" xfId="0" applyFont="1" applyFill="1" applyAlignment="1">
      <alignment vertical="center"/>
    </xf>
    <xf numFmtId="0" fontId="23" fillId="3" borderId="0" xfId="31" applyFont="1" applyBorder="1" applyAlignment="1">
      <alignment horizontal="left" wrapText="1"/>
    </xf>
    <xf numFmtId="0" fontId="28" fillId="0" borderId="0" xfId="0" applyFont="1"/>
    <xf numFmtId="0" fontId="28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8" fillId="20" borderId="0" xfId="0" applyFont="1" applyFill="1"/>
    <xf numFmtId="166" fontId="6" fillId="0" borderId="0" xfId="0" applyNumberFormat="1" applyFont="1"/>
    <xf numFmtId="0" fontId="6" fillId="0" borderId="0" xfId="0" applyFont="1"/>
    <xf numFmtId="0" fontId="25" fillId="0" borderId="0" xfId="0" applyFont="1"/>
    <xf numFmtId="166" fontId="25" fillId="0" borderId="0" xfId="0" applyNumberFormat="1" applyFont="1"/>
    <xf numFmtId="166" fontId="25" fillId="0" borderId="0" xfId="0" applyNumberFormat="1" applyFont="1" applyAlignment="1">
      <alignment wrapText="1"/>
    </xf>
    <xf numFmtId="0" fontId="25" fillId="17" borderId="0" xfId="9" applyFont="1" applyFill="1"/>
    <xf numFmtId="166" fontId="25" fillId="0" borderId="0" xfId="9" applyNumberFormat="1" applyFont="1"/>
    <xf numFmtId="2" fontId="25" fillId="0" borderId="0" xfId="9" applyNumberFormat="1" applyFont="1"/>
    <xf numFmtId="9" fontId="25" fillId="17" borderId="0" xfId="24" applyFont="1" applyFill="1"/>
    <xf numFmtId="0" fontId="24" fillId="20" borderId="0" xfId="0" applyFont="1" applyFill="1"/>
    <xf numFmtId="0" fontId="6" fillId="0" borderId="0" xfId="9" applyFont="1"/>
    <xf numFmtId="166" fontId="6" fillId="0" borderId="0" xfId="9" applyNumberFormat="1" applyFont="1"/>
    <xf numFmtId="2" fontId="25" fillId="13" borderId="0" xfId="0" applyNumberFormat="1" applyFont="1" applyFill="1"/>
    <xf numFmtId="2" fontId="25" fillId="15" borderId="0" xfId="0" applyNumberFormat="1" applyFont="1" applyFill="1"/>
    <xf numFmtId="0" fontId="30" fillId="0" borderId="0" xfId="0" applyFont="1"/>
    <xf numFmtId="166" fontId="30" fillId="0" borderId="0" xfId="0" applyNumberFormat="1" applyFont="1"/>
    <xf numFmtId="166" fontId="6" fillId="0" borderId="0" xfId="0" applyNumberFormat="1" applyFont="1" applyAlignment="1">
      <alignment wrapText="1"/>
    </xf>
    <xf numFmtId="166" fontId="30" fillId="0" borderId="0" xfId="0" applyNumberFormat="1" applyFont="1" applyAlignment="1">
      <alignment wrapText="1"/>
    </xf>
    <xf numFmtId="166" fontId="23" fillId="3" borderId="0" xfId="23" applyNumberFormat="1" applyFont="1" applyBorder="1" applyAlignment="1">
      <alignment horizontal="left" wrapText="1"/>
    </xf>
    <xf numFmtId="166" fontId="31" fillId="0" borderId="0" xfId="0" applyNumberFormat="1" applyFont="1"/>
    <xf numFmtId="0" fontId="33" fillId="0" borderId="0" xfId="40" applyFont="1"/>
    <xf numFmtId="0" fontId="1" fillId="0" borderId="0" xfId="40"/>
    <xf numFmtId="0" fontId="1" fillId="25" borderId="0" xfId="38"/>
    <xf numFmtId="0" fontId="35" fillId="9" borderId="0" xfId="41"/>
    <xf numFmtId="0" fontId="1" fillId="21" borderId="0" xfId="34"/>
    <xf numFmtId="0" fontId="36" fillId="0" borderId="0" xfId="40" applyFont="1" applyAlignment="1">
      <alignment vertical="center"/>
    </xf>
    <xf numFmtId="0" fontId="38" fillId="0" borderId="19" xfId="40" applyFont="1" applyBorder="1" applyAlignment="1">
      <alignment horizontal="justify" vertical="center" wrapText="1"/>
    </xf>
    <xf numFmtId="0" fontId="38" fillId="0" borderId="20" xfId="40" applyFont="1" applyBorder="1" applyAlignment="1">
      <alignment horizontal="justify" vertical="center" wrapText="1"/>
    </xf>
    <xf numFmtId="0" fontId="38" fillId="0" borderId="21" xfId="40" applyFont="1" applyBorder="1" applyAlignment="1">
      <alignment horizontal="justify" vertical="center" wrapText="1"/>
    </xf>
    <xf numFmtId="0" fontId="39" fillId="0" borderId="19" xfId="40" applyFont="1" applyBorder="1" applyAlignment="1">
      <alignment horizontal="justify" vertical="center" wrapText="1"/>
    </xf>
    <xf numFmtId="0" fontId="39" fillId="0" borderId="20" xfId="40" applyFont="1" applyBorder="1" applyAlignment="1">
      <alignment horizontal="justify" vertical="center" wrapText="1"/>
    </xf>
    <xf numFmtId="0" fontId="39" fillId="0" borderId="21" xfId="40" applyFont="1" applyBorder="1" applyAlignment="1">
      <alignment horizontal="justify" vertical="center" wrapText="1"/>
    </xf>
    <xf numFmtId="0" fontId="38" fillId="0" borderId="22" xfId="40" applyFont="1" applyBorder="1" applyAlignment="1">
      <alignment vertical="center"/>
    </xf>
    <xf numFmtId="0" fontId="38" fillId="0" borderId="19" xfId="40" applyFont="1" applyBorder="1" applyAlignment="1">
      <alignment horizontal="center" vertical="center"/>
    </xf>
    <xf numFmtId="0" fontId="38" fillId="0" borderId="20" xfId="40" applyFont="1" applyBorder="1" applyAlignment="1">
      <alignment horizontal="center" vertical="center"/>
    </xf>
    <xf numFmtId="0" fontId="38" fillId="0" borderId="21" xfId="40" applyFont="1" applyBorder="1" applyAlignment="1">
      <alignment horizontal="center" vertical="center"/>
    </xf>
    <xf numFmtId="0" fontId="38" fillId="0" borderId="23" xfId="40" applyFont="1" applyBorder="1" applyAlignment="1">
      <alignment horizontal="justify" vertical="center" wrapText="1"/>
    </xf>
    <xf numFmtId="0" fontId="1" fillId="25" borderId="23" xfId="38" applyBorder="1" applyAlignment="1">
      <alignment horizontal="justify" vertical="center" wrapText="1"/>
    </xf>
    <xf numFmtId="0" fontId="35" fillId="9" borderId="23" xfId="41" applyBorder="1" applyAlignment="1">
      <alignment horizontal="justify" vertical="center" wrapText="1"/>
    </xf>
    <xf numFmtId="0" fontId="1" fillId="21" borderId="23" xfId="34" applyBorder="1" applyAlignment="1">
      <alignment horizontal="justify" vertical="center" wrapText="1"/>
    </xf>
    <xf numFmtId="0" fontId="38" fillId="0" borderId="24" xfId="40" applyFont="1" applyBorder="1" applyAlignment="1">
      <alignment vertical="center"/>
    </xf>
    <xf numFmtId="0" fontId="38" fillId="0" borderId="23" xfId="40" applyFont="1" applyBorder="1" applyAlignment="1">
      <alignment horizontal="right" vertical="center"/>
    </xf>
    <xf numFmtId="0" fontId="40" fillId="0" borderId="23" xfId="40" applyFont="1" applyBorder="1" applyAlignment="1">
      <alignment horizontal="right" vertical="center"/>
    </xf>
    <xf numFmtId="0" fontId="38" fillId="0" borderId="25" xfId="40" applyFont="1" applyBorder="1" applyAlignment="1">
      <alignment horizontal="justify" vertical="center" wrapText="1"/>
    </xf>
    <xf numFmtId="0" fontId="38" fillId="0" borderId="26" xfId="40" applyFont="1" applyBorder="1" applyAlignment="1">
      <alignment horizontal="justify" vertical="center" wrapText="1"/>
    </xf>
    <xf numFmtId="0" fontId="38" fillId="0" borderId="23" xfId="40" applyFont="1" applyBorder="1" applyAlignment="1">
      <alignment vertical="center" wrapText="1"/>
    </xf>
    <xf numFmtId="0" fontId="1" fillId="25" borderId="23" xfId="38" applyBorder="1" applyAlignment="1">
      <alignment vertical="center" wrapText="1"/>
    </xf>
    <xf numFmtId="0" fontId="35" fillId="9" borderId="23" xfId="41" applyBorder="1" applyAlignment="1">
      <alignment vertical="center" wrapText="1"/>
    </xf>
    <xf numFmtId="0" fontId="1" fillId="21" borderId="23" xfId="34" applyBorder="1" applyAlignment="1">
      <alignment vertical="center" wrapText="1"/>
    </xf>
    <xf numFmtId="0" fontId="38" fillId="0" borderId="27" xfId="40" applyFont="1" applyBorder="1" applyAlignment="1">
      <alignment horizontal="justify" vertical="center" wrapText="1"/>
    </xf>
    <xf numFmtId="0" fontId="38" fillId="0" borderId="24" xfId="40" applyFont="1" applyBorder="1" applyAlignment="1">
      <alignment horizontal="justify" vertical="center" wrapText="1"/>
    </xf>
    <xf numFmtId="0" fontId="38" fillId="0" borderId="23" xfId="40" applyFont="1" applyBorder="1" applyAlignment="1">
      <alignment vertical="center"/>
    </xf>
    <xf numFmtId="0" fontId="1" fillId="25" borderId="23" xfId="38" applyBorder="1" applyAlignment="1">
      <alignment vertical="center"/>
    </xf>
    <xf numFmtId="0" fontId="35" fillId="9" borderId="23" xfId="41" applyBorder="1" applyAlignment="1">
      <alignment vertical="center"/>
    </xf>
    <xf numFmtId="0" fontId="1" fillId="21" borderId="23" xfId="34" applyBorder="1" applyAlignment="1">
      <alignment vertical="center"/>
    </xf>
    <xf numFmtId="0" fontId="19" fillId="7" borderId="0" xfId="6"/>
    <xf numFmtId="167" fontId="17" fillId="5" borderId="0" xfId="3" applyNumberFormat="1"/>
    <xf numFmtId="0" fontId="17" fillId="26" borderId="0" xfId="39"/>
    <xf numFmtId="167" fontId="17" fillId="26" borderId="0" xfId="39" applyNumberFormat="1"/>
    <xf numFmtId="0" fontId="1" fillId="22" borderId="0" xfId="35"/>
    <xf numFmtId="9" fontId="1" fillId="22" borderId="0" xfId="35" applyNumberFormat="1"/>
    <xf numFmtId="9" fontId="0" fillId="0" borderId="0" xfId="42" applyFont="1"/>
    <xf numFmtId="9" fontId="1" fillId="25" borderId="0" xfId="38" applyNumberFormat="1"/>
    <xf numFmtId="0" fontId="1" fillId="27" borderId="0" xfId="40" applyFill="1"/>
    <xf numFmtId="9" fontId="0" fillId="27" borderId="0" xfId="42" applyFont="1" applyFill="1"/>
    <xf numFmtId="0" fontId="41" fillId="0" borderId="0" xfId="40" applyFont="1"/>
    <xf numFmtId="0" fontId="41" fillId="27" borderId="0" xfId="40" applyFont="1" applyFill="1"/>
    <xf numFmtId="2" fontId="41" fillId="27" borderId="0" xfId="42" applyNumberFormat="1" applyFont="1" applyFill="1"/>
    <xf numFmtId="9" fontId="35" fillId="9" borderId="0" xfId="41" applyNumberFormat="1"/>
    <xf numFmtId="9" fontId="41" fillId="0" borderId="0" xfId="42" applyFont="1"/>
    <xf numFmtId="2" fontId="41" fillId="0" borderId="0" xfId="42" applyNumberFormat="1" applyFont="1"/>
    <xf numFmtId="168" fontId="0" fillId="0" borderId="0" xfId="42" applyNumberFormat="1" applyFont="1"/>
    <xf numFmtId="0" fontId="1" fillId="23" borderId="0" xfId="36"/>
    <xf numFmtId="167" fontId="1" fillId="0" borderId="0" xfId="40" applyNumberFormat="1"/>
    <xf numFmtId="167" fontId="38" fillId="0" borderId="0" xfId="40" applyNumberFormat="1" applyFont="1"/>
    <xf numFmtId="0" fontId="38" fillId="0" borderId="0" xfId="40" applyFont="1"/>
    <xf numFmtId="0" fontId="42" fillId="0" borderId="0" xfId="40" applyFont="1"/>
    <xf numFmtId="0" fontId="0" fillId="25" borderId="0" xfId="38" applyFont="1" applyAlignment="1">
      <alignment wrapText="1"/>
    </xf>
    <xf numFmtId="0" fontId="1" fillId="25" borderId="0" xfId="38" applyAlignment="1">
      <alignment wrapText="1"/>
    </xf>
    <xf numFmtId="169" fontId="32" fillId="0" borderId="0" xfId="42" applyNumberFormat="1" applyFont="1"/>
    <xf numFmtId="167" fontId="32" fillId="0" borderId="0" xfId="40" applyNumberFormat="1" applyFont="1"/>
    <xf numFmtId="167" fontId="32" fillId="25" borderId="0" xfId="38" applyNumberFormat="1" applyFont="1"/>
    <xf numFmtId="167" fontId="32" fillId="9" borderId="0" xfId="41" applyNumberFormat="1" applyFont="1"/>
    <xf numFmtId="167" fontId="32" fillId="21" borderId="0" xfId="34" applyNumberFormat="1" applyFont="1"/>
    <xf numFmtId="0" fontId="1" fillId="28" borderId="0" xfId="37" applyFill="1"/>
    <xf numFmtId="167" fontId="1" fillId="28" borderId="0" xfId="37" applyNumberFormat="1" applyFill="1"/>
    <xf numFmtId="0" fontId="1" fillId="29" borderId="0" xfId="40" applyFill="1"/>
    <xf numFmtId="167" fontId="1" fillId="29" borderId="0" xfId="40" applyNumberFormat="1" applyFill="1"/>
    <xf numFmtId="0" fontId="0" fillId="29" borderId="0" xfId="38" applyFont="1" applyFill="1"/>
    <xf numFmtId="0" fontId="0" fillId="29" borderId="0" xfId="41" applyFont="1" applyFill="1"/>
    <xf numFmtId="0" fontId="0" fillId="29" borderId="0" xfId="34" applyFont="1" applyFill="1"/>
    <xf numFmtId="0" fontId="1" fillId="30" borderId="0" xfId="40" applyFill="1"/>
    <xf numFmtId="167" fontId="1" fillId="30" borderId="0" xfId="40" applyNumberFormat="1" applyFill="1"/>
    <xf numFmtId="0" fontId="1" fillId="30" borderId="0" xfId="38" applyFill="1"/>
    <xf numFmtId="0" fontId="35" fillId="30" borderId="0" xfId="41" applyFill="1"/>
    <xf numFmtId="0" fontId="1" fillId="30" borderId="0" xfId="34" applyFill="1"/>
    <xf numFmtId="0" fontId="1" fillId="14" borderId="0" xfId="40" applyFill="1"/>
    <xf numFmtId="167" fontId="1" fillId="14" borderId="0" xfId="40" applyNumberFormat="1" applyFill="1"/>
    <xf numFmtId="0" fontId="1" fillId="14" borderId="0" xfId="38" applyFill="1"/>
    <xf numFmtId="0" fontId="35" fillId="14" borderId="0" xfId="41" applyFill="1"/>
    <xf numFmtId="0" fontId="1" fillId="14" borderId="0" xfId="34" applyFill="1"/>
    <xf numFmtId="167" fontId="35" fillId="9" borderId="0" xfId="41" applyNumberFormat="1"/>
    <xf numFmtId="9" fontId="0" fillId="30" borderId="0" xfId="42" applyFont="1" applyFill="1"/>
    <xf numFmtId="0" fontId="43" fillId="0" borderId="0" xfId="40" applyFont="1"/>
    <xf numFmtId="0" fontId="1" fillId="0" borderId="0" xfId="40" applyAlignment="1">
      <alignment wrapText="1"/>
    </xf>
    <xf numFmtId="9" fontId="1" fillId="0" borderId="0" xfId="40" applyNumberFormat="1"/>
    <xf numFmtId="0" fontId="1" fillId="0" borderId="0" xfId="4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70" fontId="0" fillId="0" borderId="0" xfId="16" applyNumberFormat="1" applyFont="1"/>
    <xf numFmtId="0" fontId="8" fillId="0" borderId="0" xfId="0" applyFont="1" applyAlignment="1">
      <alignment horizontal="center"/>
    </xf>
    <xf numFmtId="0" fontId="44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46" fillId="0" borderId="0" xfId="0" applyFont="1"/>
  </cellXfs>
  <cellStyles count="43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40% - Accent1" xfId="34" builtinId="31"/>
    <cellStyle name="40% - Accent2" xfId="36" builtinId="35"/>
    <cellStyle name="40% - Accent3" xfId="37" builtinId="39"/>
    <cellStyle name="40% - Accent4" xfId="38" builtinId="43"/>
    <cellStyle name="60% - Accent1" xfId="35" builtinId="32"/>
    <cellStyle name="60% - Accent2" xfId="2" builtinId="36"/>
    <cellStyle name="Accent2" xfId="3" builtinId="33"/>
    <cellStyle name="Accent6" xfId="39" builtinId="49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eutral 2" xfId="41" xr:uid="{A3AE8485-95FC-41BA-AE1C-0A2FC5CEA2DA}"/>
    <cellStyle name="Normal" xfId="0" builtinId="0"/>
    <cellStyle name="Normal 10" xfId="9" xr:uid="{00000000-0005-0000-0000-000009000000}"/>
    <cellStyle name="Normal 2" xfId="10" xr:uid="{00000000-0005-0000-0000-00000A000000}"/>
    <cellStyle name="Normal 3" xfId="40" xr:uid="{CEDDD2B3-6AFE-4814-8666-E4C38182B461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 cent 3" xfId="42" xr:uid="{5844D0E0-44CC-4526-80B6-F2A16EB52199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'Energybalance history'!$A$65</c:f>
              <c:strCache>
                <c:ptCount val="1"/>
                <c:pt idx="0">
                  <c:v>Total Industry Consumption in GWh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history'!$B$65:$Q$65</c:f>
              <c:numCache>
                <c:formatCode>0.0</c:formatCode>
                <c:ptCount val="16"/>
                <c:pt idx="0">
                  <c:v>19578.700555555555</c:v>
                </c:pt>
                <c:pt idx="1">
                  <c:v>17444.618333333336</c:v>
                </c:pt>
                <c:pt idx="2">
                  <c:v>19485.127222222221</c:v>
                </c:pt>
                <c:pt idx="3">
                  <c:v>22074.805555555551</c:v>
                </c:pt>
                <c:pt idx="4">
                  <c:v>22918.588888888888</c:v>
                </c:pt>
                <c:pt idx="5" formatCode="0.0000%">
                  <c:v>4.1408593708299968E-2</c:v>
                </c:pt>
                <c:pt idx="6">
                  <c:v>16173.841000000002</c:v>
                </c:pt>
                <c:pt idx="7">
                  <c:v>24462.542000000001</c:v>
                </c:pt>
                <c:pt idx="8">
                  <c:v>30530.494500000001</c:v>
                </c:pt>
                <c:pt idx="9">
                  <c:v>36598.447</c:v>
                </c:pt>
                <c:pt idx="10">
                  <c:v>54366.760999999999</c:v>
                </c:pt>
                <c:pt idx="11">
                  <c:v>80381.90800000001</c:v>
                </c:pt>
                <c:pt idx="12">
                  <c:v>118468.99500000001</c:v>
                </c:pt>
                <c:pt idx="13">
                  <c:v>174233.682</c:v>
                </c:pt>
                <c:pt idx="14">
                  <c:v>215055.56349999999</c:v>
                </c:pt>
                <c:pt idx="15">
                  <c:v>255877.44500000001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65A-A367-7D7165847BCE}"/>
            </c:ext>
          </c:extLst>
        </c:ser>
        <c:ser>
          <c:idx val="2"/>
          <c:order val="2"/>
          <c:tx>
            <c:strRef>
              <c:f>'Energybalance history'!$A$68</c:f>
              <c:strCache>
                <c:ptCount val="1"/>
                <c:pt idx="0">
                  <c:v>Manufacturing Electricity consumption in GWh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history'!$B$68:$Q$68</c:f>
              <c:numCache>
                <c:formatCode>0.0</c:formatCode>
                <c:ptCount val="16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  <c:pt idx="5" formatCode="0.0000%">
                  <c:v>5.3675278227879542E-2</c:v>
                </c:pt>
                <c:pt idx="8">
                  <c:v>26790</c:v>
                </c:pt>
                <c:pt idx="9">
                  <c:v>4347.6775685872717</c:v>
                </c:pt>
                <c:pt idx="11">
                  <c:v>44555</c:v>
                </c:pt>
                <c:pt idx="12">
                  <c:v>7333.7353602111407</c:v>
                </c:pt>
                <c:pt idx="14">
                  <c:v>65835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65A-A367-7D716584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591"/>
        <c:axId val="14343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'Energybalance history'!$A$64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2D1-465A-A367-7D7165847BCE}"/>
                  </c:ext>
                </c:extLst>
              </c15:ser>
            </c15:filteredBarSeries>
          </c:ext>
        </c:extLst>
      </c:barChart>
      <c:catAx>
        <c:axId val="143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471"/>
        <c:crosses val="autoZero"/>
        <c:auto val="1"/>
        <c:lblAlgn val="ctr"/>
        <c:lblOffset val="100"/>
        <c:noMultiLvlLbl val="0"/>
      </c:catAx>
      <c:valAx>
        <c:axId val="14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512445</xdr:colOff>
      <xdr:row>73</xdr:row>
      <xdr:rowOff>78106</xdr:rowOff>
    </xdr:from>
    <xdr:to>
      <xdr:col>46</xdr:col>
      <xdr:colOff>304800</xdr:colOff>
      <xdr:row>108</xdr:row>
      <xdr:rowOff>12383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FF7F3-9621-49ED-B557-030BF500C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40</xdr:row>
      <xdr:rowOff>137160</xdr:rowOff>
    </xdr:from>
    <xdr:to>
      <xdr:col>15</xdr:col>
      <xdr:colOff>133299</xdr:colOff>
      <xdr:row>49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Relationship Id="rId1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 history"/>
      <sheetName val="Enrgy growth"/>
    </sheetNames>
    <sheetDataSet>
      <sheetData sheetId="0">
        <row r="64">
          <cell r="A64" t="str">
            <v>Year</v>
          </cell>
          <cell r="B64">
            <v>2019</v>
          </cell>
          <cell r="C64">
            <v>2020</v>
          </cell>
          <cell r="D64">
            <v>2021</v>
          </cell>
          <cell r="E64">
            <v>2022</v>
          </cell>
          <cell r="F64">
            <v>2023</v>
          </cell>
          <cell r="H64">
            <v>2024</v>
          </cell>
          <cell r="I64">
            <v>2028</v>
          </cell>
          <cell r="J64">
            <v>2030</v>
          </cell>
          <cell r="K64">
            <v>2032</v>
          </cell>
          <cell r="L64">
            <v>2036</v>
          </cell>
          <cell r="M64">
            <v>2040</v>
          </cell>
          <cell r="N64">
            <v>2044</v>
          </cell>
          <cell r="O64">
            <v>2048</v>
          </cell>
          <cell r="P64">
            <v>2050</v>
          </cell>
          <cell r="Q64">
            <v>2052</v>
          </cell>
        </row>
        <row r="65">
          <cell r="A65" t="str">
            <v>Total Industry Consumption in GWh</v>
          </cell>
          <cell r="B65">
            <v>19578.700555555555</v>
          </cell>
          <cell r="C65">
            <v>17444.618333333336</v>
          </cell>
          <cell r="D65">
            <v>19485.127222222221</v>
          </cell>
          <cell r="E65">
            <v>22074.805555555551</v>
          </cell>
          <cell r="F65">
            <v>22918.588888888888</v>
          </cell>
          <cell r="G65">
            <v>4.1408593708299968E-2</v>
          </cell>
          <cell r="H65">
            <v>16173.841000000002</v>
          </cell>
          <cell r="I65">
            <v>24462.542000000001</v>
          </cell>
          <cell r="J65">
            <v>30530.494500000001</v>
          </cell>
          <cell r="K65">
            <v>36598.447</v>
          </cell>
          <cell r="L65">
            <v>54366.760999999999</v>
          </cell>
          <cell r="M65">
            <v>80381.90800000001</v>
          </cell>
          <cell r="N65">
            <v>118468.99500000001</v>
          </cell>
          <cell r="O65">
            <v>174233.682</v>
          </cell>
          <cell r="P65">
            <v>215055.56349999999</v>
          </cell>
          <cell r="Q65">
            <v>255877.44500000001</v>
          </cell>
        </row>
        <row r="68">
          <cell r="A68" t="str">
            <v>Manufacturing Electricity consumption in GWh</v>
          </cell>
          <cell r="B68">
            <v>2791.0050000000001</v>
          </cell>
          <cell r="C68">
            <v>2430.2799722222217</v>
          </cell>
          <cell r="D68">
            <v>2683.0269444444443</v>
          </cell>
          <cell r="E68">
            <v>2861.5609722222221</v>
          </cell>
          <cell r="F68">
            <v>3440.232361111111</v>
          </cell>
          <cell r="G68">
            <v>5.3675278227879542E-2</v>
          </cell>
          <cell r="J68">
            <v>26790</v>
          </cell>
          <cell r="K68">
            <v>4347.6775685872717</v>
          </cell>
          <cell r="M68">
            <v>44555</v>
          </cell>
          <cell r="N68">
            <v>7333.7353602111407</v>
          </cell>
          <cell r="P68">
            <v>65835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NCO@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A86C-D5A8-4C3D-8B36-F46BCF028A2C}">
  <dimension ref="A1:AF140"/>
  <sheetViews>
    <sheetView topLeftCell="A41" workbookViewId="0">
      <selection activeCell="F86" sqref="F86"/>
    </sheetView>
  </sheetViews>
  <sheetFormatPr defaultRowHeight="14.4" x14ac:dyDescent="0.3"/>
  <cols>
    <col min="1" max="1" width="99.5546875" style="181" bestFit="1" customWidth="1"/>
    <col min="2" max="2" width="11.109375" style="181" customWidth="1"/>
    <col min="3" max="3" width="10.44140625" style="181" customWidth="1"/>
    <col min="4" max="4" width="10.6640625" style="181" customWidth="1"/>
    <col min="5" max="5" width="12.109375" style="181" bestFit="1" customWidth="1"/>
    <col min="6" max="6" width="11.5546875" style="181" bestFit="1" customWidth="1"/>
    <col min="7" max="7" width="14.6640625" style="181" bestFit="1" customWidth="1"/>
    <col min="8" max="8" width="10" style="181" bestFit="1" customWidth="1"/>
    <col min="9" max="9" width="10" style="182" bestFit="1" customWidth="1"/>
    <col min="10" max="10" width="9" style="183" bestFit="1" customWidth="1"/>
    <col min="11" max="11" width="8.88671875" style="181"/>
    <col min="12" max="12" width="8.88671875" style="184"/>
    <col min="13" max="13" width="10" style="183" bestFit="1" customWidth="1"/>
    <col min="14" max="14" width="8.88671875" style="181"/>
    <col min="15" max="15" width="11" style="182" bestFit="1" customWidth="1"/>
    <col min="16" max="16" width="10" style="183" bestFit="1" customWidth="1"/>
    <col min="17" max="17" width="10" style="183" customWidth="1"/>
    <col min="18" max="16384" width="8.88671875" style="181"/>
  </cols>
  <sheetData>
    <row r="1" spans="1:32" ht="16.2" thickBot="1" x14ac:dyDescent="0.35">
      <c r="A1" s="180" t="s">
        <v>297</v>
      </c>
      <c r="B1" s="180"/>
      <c r="C1" s="180"/>
      <c r="D1" s="180"/>
      <c r="V1" s="185" t="s">
        <v>298</v>
      </c>
    </row>
    <row r="2" spans="1:32" ht="15" thickBot="1" x14ac:dyDescent="0.35">
      <c r="A2" s="186" t="s">
        <v>144</v>
      </c>
      <c r="B2" s="187"/>
      <c r="C2" s="187"/>
      <c r="D2" s="187"/>
      <c r="E2" s="188"/>
      <c r="F2" s="186" t="s">
        <v>299</v>
      </c>
      <c r="G2" s="187"/>
      <c r="H2" s="187"/>
      <c r="I2" s="188"/>
      <c r="J2" s="189" t="s">
        <v>300</v>
      </c>
      <c r="K2" s="190"/>
      <c r="L2" s="190"/>
      <c r="M2" s="191"/>
      <c r="N2" s="186" t="s">
        <v>301</v>
      </c>
      <c r="O2" s="187"/>
      <c r="P2" s="187"/>
      <c r="Q2" s="187"/>
      <c r="R2" s="188"/>
      <c r="V2" s="192" t="s">
        <v>144</v>
      </c>
      <c r="W2" s="193" t="s">
        <v>302</v>
      </c>
      <c r="X2" s="194"/>
      <c r="Y2" s="194"/>
      <c r="Z2" s="194"/>
      <c r="AA2" s="195"/>
      <c r="AB2" s="193" t="s">
        <v>303</v>
      </c>
      <c r="AC2" s="194"/>
      <c r="AD2" s="194"/>
      <c r="AE2" s="194"/>
      <c r="AF2" s="195"/>
    </row>
    <row r="3" spans="1:32" ht="24.6" customHeight="1" thickBot="1" x14ac:dyDescent="0.35">
      <c r="A3" s="186" t="s">
        <v>304</v>
      </c>
      <c r="B3" s="187"/>
      <c r="C3" s="187"/>
      <c r="D3" s="187"/>
      <c r="E3" s="188"/>
      <c r="F3" s="196">
        <v>5</v>
      </c>
      <c r="G3" s="196" t="s">
        <v>305</v>
      </c>
      <c r="H3" s="196" t="s">
        <v>306</v>
      </c>
      <c r="I3" s="197">
        <v>10</v>
      </c>
      <c r="J3" s="198">
        <v>5</v>
      </c>
      <c r="K3" s="196" t="s">
        <v>305</v>
      </c>
      <c r="L3" s="199" t="s">
        <v>306</v>
      </c>
      <c r="M3" s="198">
        <v>10</v>
      </c>
      <c r="N3" s="196">
        <v>5</v>
      </c>
      <c r="O3" s="197" t="s">
        <v>305</v>
      </c>
      <c r="P3" s="198" t="s">
        <v>306</v>
      </c>
      <c r="Q3" s="198"/>
      <c r="R3" s="196">
        <v>10</v>
      </c>
      <c r="V3" s="200" t="s">
        <v>307</v>
      </c>
      <c r="W3" s="201">
        <v>2018</v>
      </c>
      <c r="X3" s="201">
        <v>2020</v>
      </c>
      <c r="Y3" s="201">
        <v>2030</v>
      </c>
      <c r="Z3" s="201">
        <v>2040</v>
      </c>
      <c r="AA3" s="201">
        <v>2050</v>
      </c>
      <c r="AB3" s="202">
        <v>2018</v>
      </c>
      <c r="AC3" s="202">
        <v>2020</v>
      </c>
      <c r="AD3" s="202">
        <v>2030</v>
      </c>
      <c r="AE3" s="202">
        <v>2040</v>
      </c>
      <c r="AF3" s="202">
        <v>2050</v>
      </c>
    </row>
    <row r="4" spans="1:32" ht="15" thickBot="1" x14ac:dyDescent="0.35">
      <c r="A4" s="203" t="s">
        <v>308</v>
      </c>
      <c r="B4" s="204"/>
      <c r="C4" s="204"/>
      <c r="D4" s="204"/>
      <c r="E4" s="196">
        <v>2024</v>
      </c>
      <c r="F4" s="205">
        <v>5017.1000000000004</v>
      </c>
      <c r="G4" s="205">
        <v>5269.2</v>
      </c>
      <c r="H4" s="205">
        <v>5371.7</v>
      </c>
      <c r="I4" s="206">
        <v>5527.3</v>
      </c>
      <c r="J4" s="207">
        <v>1286.0999999999999</v>
      </c>
      <c r="K4" s="205">
        <v>1355.1</v>
      </c>
      <c r="L4" s="208">
        <v>1390.7</v>
      </c>
      <c r="M4" s="207">
        <v>1716.2</v>
      </c>
      <c r="N4" s="205">
        <v>40518.9</v>
      </c>
      <c r="O4" s="206">
        <v>41362.699999999997</v>
      </c>
      <c r="P4" s="207">
        <v>41705.800000000003</v>
      </c>
      <c r="Q4" s="207"/>
      <c r="R4" s="205">
        <v>42226.3</v>
      </c>
      <c r="V4" s="200" t="s">
        <v>66</v>
      </c>
      <c r="W4" s="201">
        <v>13</v>
      </c>
      <c r="X4" s="201">
        <v>15.1</v>
      </c>
      <c r="Y4" s="201">
        <v>28.2</v>
      </c>
      <c r="Z4" s="201">
        <v>46.9</v>
      </c>
      <c r="AA4" s="201">
        <v>69.3</v>
      </c>
      <c r="AB4" s="202">
        <v>1117740</v>
      </c>
      <c r="AC4" s="202">
        <v>1298298</v>
      </c>
      <c r="AD4" s="202">
        <v>2424636</v>
      </c>
      <c r="AE4" s="202">
        <v>4032462</v>
      </c>
      <c r="AF4" s="202">
        <v>5958414</v>
      </c>
    </row>
    <row r="5" spans="1:32" ht="15" thickBot="1" x14ac:dyDescent="0.35">
      <c r="A5" s="209"/>
      <c r="B5" s="204"/>
      <c r="C5" s="204"/>
      <c r="D5" s="204"/>
      <c r="E5" s="196">
        <v>2028</v>
      </c>
      <c r="F5" s="205">
        <v>6144.8</v>
      </c>
      <c r="G5" s="205">
        <v>7109.3</v>
      </c>
      <c r="H5" s="205">
        <v>7527.8</v>
      </c>
      <c r="I5" s="206">
        <v>8192.7000000000007</v>
      </c>
      <c r="J5" s="207">
        <v>1594.5</v>
      </c>
      <c r="K5" s="205">
        <v>1858.3</v>
      </c>
      <c r="L5" s="208">
        <v>2103.4</v>
      </c>
      <c r="M5" s="207">
        <v>2580</v>
      </c>
      <c r="N5" s="205">
        <v>42313.8</v>
      </c>
      <c r="O5" s="206">
        <v>47520</v>
      </c>
      <c r="P5" s="207">
        <v>48920.3</v>
      </c>
      <c r="Q5" s="207"/>
      <c r="R5" s="205">
        <v>51145.3</v>
      </c>
      <c r="V5" s="200" t="s">
        <v>309</v>
      </c>
      <c r="W5" s="201">
        <v>4.5999999999999996</v>
      </c>
      <c r="X5" s="201">
        <v>6.4</v>
      </c>
      <c r="Y5" s="201">
        <v>20.6</v>
      </c>
      <c r="Z5" s="201">
        <v>40.700000000000003</v>
      </c>
      <c r="AA5" s="201">
        <v>62.5</v>
      </c>
      <c r="AB5" s="202">
        <v>395508</v>
      </c>
      <c r="AC5" s="202">
        <v>550272</v>
      </c>
      <c r="AD5" s="202">
        <v>1771188</v>
      </c>
      <c r="AE5" s="202">
        <v>3499386</v>
      </c>
      <c r="AF5" s="202">
        <v>5373750</v>
      </c>
    </row>
    <row r="6" spans="1:32" ht="15" thickBot="1" x14ac:dyDescent="0.35">
      <c r="A6" s="209"/>
      <c r="B6" s="204"/>
      <c r="C6" s="204"/>
      <c r="D6" s="204"/>
      <c r="E6" s="196">
        <v>2032</v>
      </c>
      <c r="F6" s="205">
        <v>7515.5</v>
      </c>
      <c r="G6" s="205">
        <v>9566.6</v>
      </c>
      <c r="H6" s="205">
        <v>10515.7</v>
      </c>
      <c r="I6" s="206">
        <v>12095.1</v>
      </c>
      <c r="J6" s="207">
        <v>1969.4</v>
      </c>
      <c r="K6" s="205">
        <v>2530.4</v>
      </c>
      <c r="L6" s="208">
        <v>3146.9</v>
      </c>
      <c r="M6" s="207">
        <v>3844.6</v>
      </c>
      <c r="N6" s="205">
        <v>44292.6</v>
      </c>
      <c r="O6" s="206">
        <v>55742.8</v>
      </c>
      <c r="P6" s="207">
        <v>58918.5</v>
      </c>
      <c r="Q6" s="207"/>
      <c r="R6" s="205">
        <v>83322.2</v>
      </c>
      <c r="V6" s="200" t="s">
        <v>64</v>
      </c>
      <c r="W6" s="201">
        <v>2.6</v>
      </c>
      <c r="X6" s="201">
        <v>3.1</v>
      </c>
      <c r="Y6" s="201">
        <v>6.6</v>
      </c>
      <c r="Z6" s="201">
        <v>12.5</v>
      </c>
      <c r="AA6" s="201">
        <v>21</v>
      </c>
      <c r="AB6" s="202">
        <v>223548</v>
      </c>
      <c r="AC6" s="202">
        <v>266538</v>
      </c>
      <c r="AD6" s="202">
        <v>567468</v>
      </c>
      <c r="AE6" s="202">
        <v>1074750</v>
      </c>
      <c r="AF6" s="202">
        <v>1805580</v>
      </c>
    </row>
    <row r="7" spans="1:32" ht="15" thickBot="1" x14ac:dyDescent="0.35">
      <c r="A7" s="209"/>
      <c r="B7" s="204"/>
      <c r="C7" s="204"/>
      <c r="D7" s="204"/>
      <c r="E7" s="196">
        <v>2036</v>
      </c>
      <c r="F7" s="205">
        <v>9181.7000000000007</v>
      </c>
      <c r="G7" s="205">
        <v>12848.4</v>
      </c>
      <c r="H7" s="205">
        <v>14656.6</v>
      </c>
      <c r="I7" s="206">
        <v>17808.599999999999</v>
      </c>
      <c r="J7" s="207">
        <v>2425.1</v>
      </c>
      <c r="K7" s="205">
        <v>3427.9</v>
      </c>
      <c r="L7" s="208">
        <v>4674.7</v>
      </c>
      <c r="M7" s="207">
        <v>5696.2</v>
      </c>
      <c r="N7" s="205">
        <v>46474.2</v>
      </c>
      <c r="O7" s="206">
        <v>66724.2</v>
      </c>
      <c r="P7" s="207">
        <v>72774.7</v>
      </c>
      <c r="Q7" s="207"/>
      <c r="R7" s="205">
        <v>51145.3</v>
      </c>
      <c r="V7" s="200" t="s">
        <v>310</v>
      </c>
      <c r="W7" s="201">
        <v>0.1</v>
      </c>
      <c r="X7" s="201">
        <v>0.5</v>
      </c>
      <c r="Y7" s="201">
        <v>4.4000000000000004</v>
      </c>
      <c r="Z7" s="201">
        <v>10.4</v>
      </c>
      <c r="AA7" s="201">
        <v>16.399999999999999</v>
      </c>
      <c r="AB7" s="202">
        <v>8598</v>
      </c>
      <c r="AC7" s="202">
        <v>42990</v>
      </c>
      <c r="AD7" s="202">
        <v>378312</v>
      </c>
      <c r="AE7" s="202">
        <v>894192</v>
      </c>
      <c r="AF7" s="202">
        <v>1410072</v>
      </c>
    </row>
    <row r="8" spans="1:32" ht="15" thickBot="1" x14ac:dyDescent="0.35">
      <c r="A8" s="209"/>
      <c r="B8" s="204"/>
      <c r="C8" s="204"/>
      <c r="D8" s="204"/>
      <c r="E8" s="196">
        <v>2040</v>
      </c>
      <c r="F8" s="205">
        <v>11207</v>
      </c>
      <c r="G8" s="205">
        <v>17231</v>
      </c>
      <c r="H8" s="205">
        <v>20395.2</v>
      </c>
      <c r="I8" s="206">
        <v>26173.8</v>
      </c>
      <c r="J8" s="207">
        <v>2980</v>
      </c>
      <c r="K8" s="205">
        <v>3427.9</v>
      </c>
      <c r="L8" s="208">
        <v>6911.6</v>
      </c>
      <c r="M8" s="207">
        <v>8407.1</v>
      </c>
      <c r="N8" s="205">
        <v>48879.4</v>
      </c>
      <c r="O8" s="206">
        <v>81389.399999999994</v>
      </c>
      <c r="P8" s="207">
        <v>91977.5</v>
      </c>
      <c r="Q8" s="207"/>
      <c r="R8" s="205">
        <v>111313.8</v>
      </c>
      <c r="V8" s="200" t="s">
        <v>69</v>
      </c>
      <c r="W8" s="201">
        <v>3.3</v>
      </c>
      <c r="X8" s="201">
        <v>3.9</v>
      </c>
      <c r="Y8" s="201">
        <v>15</v>
      </c>
      <c r="Z8" s="201">
        <v>20.399999999999999</v>
      </c>
      <c r="AA8" s="201">
        <v>24.9</v>
      </c>
      <c r="AB8" s="202">
        <v>283734</v>
      </c>
      <c r="AC8" s="202">
        <v>335322</v>
      </c>
      <c r="AD8" s="202">
        <v>1289700</v>
      </c>
      <c r="AE8" s="202">
        <v>1753992</v>
      </c>
      <c r="AF8" s="202">
        <v>2140902</v>
      </c>
    </row>
    <row r="9" spans="1:32" ht="15" thickBot="1" x14ac:dyDescent="0.35">
      <c r="A9" s="209"/>
      <c r="B9" s="204"/>
      <c r="C9" s="204"/>
      <c r="D9" s="204"/>
      <c r="E9" s="196">
        <v>2044</v>
      </c>
      <c r="F9" s="205">
        <v>13668.6</v>
      </c>
      <c r="G9" s="205">
        <v>23083.9</v>
      </c>
      <c r="H9" s="205">
        <v>28348.2</v>
      </c>
      <c r="I9" s="206">
        <v>38421.300000000003</v>
      </c>
      <c r="J9" s="207">
        <v>3652.2</v>
      </c>
      <c r="K9" s="205">
        <v>4626.5</v>
      </c>
      <c r="L9" s="208">
        <v>10186.5</v>
      </c>
      <c r="M9" s="207">
        <v>12376.2</v>
      </c>
      <c r="N9" s="205">
        <v>51531.199999999997</v>
      </c>
      <c r="O9" s="206">
        <v>100974.39999999999</v>
      </c>
      <c r="P9" s="207">
        <v>118589.8</v>
      </c>
      <c r="Q9" s="207"/>
      <c r="R9" s="205">
        <v>152296.29999999999</v>
      </c>
      <c r="V9" s="200" t="s">
        <v>311</v>
      </c>
      <c r="W9" s="201">
        <v>1.5</v>
      </c>
      <c r="X9" s="201">
        <v>4.5</v>
      </c>
      <c r="Y9" s="201">
        <v>13.8</v>
      </c>
      <c r="Z9" s="201">
        <v>32</v>
      </c>
      <c r="AA9" s="201">
        <v>35.299999999999997</v>
      </c>
      <c r="AB9" s="202">
        <v>128970</v>
      </c>
      <c r="AC9" s="202">
        <v>386910</v>
      </c>
      <c r="AD9" s="202">
        <v>1186524</v>
      </c>
      <c r="AE9" s="202">
        <v>2751360</v>
      </c>
      <c r="AF9" s="202">
        <v>3035094</v>
      </c>
    </row>
    <row r="10" spans="1:32" ht="15" thickBot="1" x14ac:dyDescent="0.35">
      <c r="A10" s="209"/>
      <c r="B10" s="204"/>
      <c r="C10" s="204"/>
      <c r="D10" s="204"/>
      <c r="E10" s="196">
        <v>2048</v>
      </c>
      <c r="F10" s="205">
        <v>16660.8</v>
      </c>
      <c r="G10" s="205">
        <v>30900.3</v>
      </c>
      <c r="H10" s="205">
        <v>39369.9</v>
      </c>
      <c r="I10" s="206">
        <v>56352.800000000003</v>
      </c>
      <c r="J10" s="207">
        <v>4470.5</v>
      </c>
      <c r="K10" s="205">
        <v>6227.2</v>
      </c>
      <c r="L10" s="208">
        <v>14981.4</v>
      </c>
      <c r="M10" s="207">
        <v>18187.3</v>
      </c>
      <c r="N10" s="205">
        <v>54454.7</v>
      </c>
      <c r="O10" s="206">
        <v>127129.60000000001</v>
      </c>
      <c r="P10" s="207">
        <v>155470.6</v>
      </c>
      <c r="Q10" s="207"/>
      <c r="R10" s="205">
        <v>212298.8</v>
      </c>
      <c r="V10" s="200" t="s">
        <v>48</v>
      </c>
      <c r="W10" s="201">
        <v>25.1</v>
      </c>
      <c r="X10" s="201">
        <v>33.5</v>
      </c>
      <c r="Y10" s="201">
        <v>88.6</v>
      </c>
      <c r="Z10" s="201">
        <v>162.9</v>
      </c>
      <c r="AA10" s="201">
        <v>229.4</v>
      </c>
      <c r="AB10" s="202">
        <v>2158098</v>
      </c>
      <c r="AC10" s="202">
        <v>2880330</v>
      </c>
      <c r="AD10" s="202">
        <v>7617828</v>
      </c>
      <c r="AE10" s="202">
        <v>14006142</v>
      </c>
      <c r="AF10" s="202">
        <v>19723812</v>
      </c>
    </row>
    <row r="11" spans="1:32" ht="15" thickBot="1" x14ac:dyDescent="0.35">
      <c r="A11" s="210"/>
      <c r="B11" s="196"/>
      <c r="C11" s="196"/>
      <c r="D11" s="196"/>
      <c r="E11" s="196">
        <v>2052</v>
      </c>
      <c r="F11" s="205">
        <v>20297.900000000001</v>
      </c>
      <c r="G11" s="205">
        <v>41338.800000000003</v>
      </c>
      <c r="H11" s="205">
        <v>54644.4</v>
      </c>
      <c r="I11" s="206">
        <v>82606.3</v>
      </c>
      <c r="J11" s="207">
        <v>5465.2</v>
      </c>
      <c r="K11" s="205">
        <v>11219.6</v>
      </c>
      <c r="L11" s="208">
        <v>22001.5</v>
      </c>
      <c r="M11" s="207">
        <v>26695.3</v>
      </c>
      <c r="N11" s="205">
        <v>57678</v>
      </c>
      <c r="O11" s="206">
        <v>162059</v>
      </c>
      <c r="P11" s="207">
        <v>206582.3</v>
      </c>
      <c r="Q11" s="207"/>
      <c r="R11" s="205">
        <v>300148.40000000002</v>
      </c>
    </row>
    <row r="12" spans="1:32" ht="15" thickBot="1" x14ac:dyDescent="0.35">
      <c r="A12" s="203" t="s">
        <v>312</v>
      </c>
      <c r="B12" s="204"/>
      <c r="C12" s="204"/>
      <c r="D12" s="204"/>
      <c r="E12" s="201">
        <v>2024</v>
      </c>
      <c r="F12" s="211">
        <v>210094.2</v>
      </c>
      <c r="G12" s="211">
        <v>220653.7</v>
      </c>
      <c r="H12" s="211">
        <v>224946.8</v>
      </c>
      <c r="I12" s="212">
        <v>231461.1</v>
      </c>
      <c r="J12" s="213">
        <v>53857.2</v>
      </c>
      <c r="K12" s="211">
        <v>56745</v>
      </c>
      <c r="L12" s="214">
        <v>58237</v>
      </c>
      <c r="M12" s="213">
        <v>71866.8</v>
      </c>
      <c r="N12" s="211">
        <v>1696773</v>
      </c>
      <c r="O12" s="212">
        <v>1732105.9</v>
      </c>
      <c r="P12" s="213">
        <v>1746472.4</v>
      </c>
      <c r="Q12" s="213"/>
      <c r="R12" s="211">
        <v>1768270.5</v>
      </c>
    </row>
    <row r="13" spans="1:32" ht="15" thickBot="1" x14ac:dyDescent="0.35">
      <c r="A13" s="209"/>
      <c r="B13" s="204"/>
      <c r="C13" s="204"/>
      <c r="D13" s="204"/>
      <c r="E13" s="201">
        <v>2028</v>
      </c>
      <c r="F13" s="211">
        <v>257319.1</v>
      </c>
      <c r="G13" s="211">
        <v>297708.5</v>
      </c>
      <c r="H13" s="211">
        <v>315232.40000000002</v>
      </c>
      <c r="I13" s="212">
        <v>343077.9</v>
      </c>
      <c r="J13" s="213">
        <v>66772.600000000006</v>
      </c>
      <c r="K13" s="211">
        <v>77818.7</v>
      </c>
      <c r="L13" s="214">
        <v>88082.9</v>
      </c>
      <c r="M13" s="213">
        <v>108038.5</v>
      </c>
      <c r="N13" s="211">
        <v>1771933</v>
      </c>
      <c r="O13" s="212">
        <v>1989948.1</v>
      </c>
      <c r="P13" s="213">
        <v>2048587.1</v>
      </c>
      <c r="Q13" s="213"/>
      <c r="R13" s="211">
        <v>2141762.6</v>
      </c>
    </row>
    <row r="14" spans="1:32" ht="15" thickBot="1" x14ac:dyDescent="0.35">
      <c r="A14" s="209"/>
      <c r="B14" s="204"/>
      <c r="C14" s="204"/>
      <c r="D14" s="204"/>
      <c r="E14" s="201">
        <v>2032</v>
      </c>
      <c r="F14" s="211">
        <v>314721.09999999998</v>
      </c>
      <c r="G14" s="211">
        <v>400613.1</v>
      </c>
      <c r="H14" s="211">
        <v>440355.9</v>
      </c>
      <c r="I14" s="212">
        <v>506495.4</v>
      </c>
      <c r="J14" s="213">
        <v>82471.5</v>
      </c>
      <c r="K14" s="211">
        <v>105961.9</v>
      </c>
      <c r="L14" s="214">
        <v>131780.6</v>
      </c>
      <c r="M14" s="213">
        <v>160997.5</v>
      </c>
      <c r="N14" s="211">
        <v>1854796.9</v>
      </c>
      <c r="O14" s="212">
        <v>2334288.1</v>
      </c>
      <c r="P14" s="213">
        <v>2467275.1</v>
      </c>
      <c r="Q14" s="213"/>
      <c r="R14" s="211">
        <v>3489204.8</v>
      </c>
    </row>
    <row r="15" spans="1:32" ht="15" thickBot="1" x14ac:dyDescent="0.35">
      <c r="A15" s="209"/>
      <c r="B15" s="204"/>
      <c r="C15" s="204"/>
      <c r="D15" s="204"/>
      <c r="E15" s="201">
        <v>2036</v>
      </c>
      <c r="F15" s="211">
        <v>384493.7</v>
      </c>
      <c r="G15" s="211">
        <v>538038.9</v>
      </c>
      <c r="H15" s="211">
        <v>613759.19999999995</v>
      </c>
      <c r="I15" s="212">
        <v>745755.4</v>
      </c>
      <c r="J15" s="213">
        <v>101553.2</v>
      </c>
      <c r="K15" s="211">
        <v>143545.60000000001</v>
      </c>
      <c r="L15" s="214">
        <v>195758.8</v>
      </c>
      <c r="M15" s="213">
        <v>238534.8</v>
      </c>
      <c r="N15" s="211">
        <v>1946154.1</v>
      </c>
      <c r="O15" s="212">
        <v>2794143.6</v>
      </c>
      <c r="P15" s="213">
        <v>3047518.4</v>
      </c>
      <c r="Q15" s="213"/>
      <c r="R15" s="211">
        <v>2141762.6</v>
      </c>
    </row>
    <row r="16" spans="1:32" ht="15" thickBot="1" x14ac:dyDescent="0.35">
      <c r="A16" s="209"/>
      <c r="B16" s="204"/>
      <c r="C16" s="204"/>
      <c r="D16" s="204"/>
      <c r="E16" s="201">
        <v>2040</v>
      </c>
      <c r="F16" s="211">
        <v>469302.8</v>
      </c>
      <c r="G16" s="211">
        <v>721567.4</v>
      </c>
      <c r="H16" s="211">
        <v>854071.6</v>
      </c>
      <c r="I16" s="212">
        <v>1096055.7</v>
      </c>
      <c r="J16" s="213">
        <v>124789.4</v>
      </c>
      <c r="K16" s="211">
        <v>143545.60000000001</v>
      </c>
      <c r="L16" s="214">
        <v>289428.8</v>
      </c>
      <c r="M16" s="213">
        <v>352057.4</v>
      </c>
      <c r="N16" s="211">
        <v>2046875.6</v>
      </c>
      <c r="O16" s="212">
        <v>3408266.3</v>
      </c>
      <c r="P16" s="213">
        <v>3851652.8</v>
      </c>
      <c r="Q16" s="213"/>
      <c r="R16" s="211">
        <v>4661382.3</v>
      </c>
    </row>
    <row r="17" spans="1:24" ht="15" thickBot="1" x14ac:dyDescent="0.35">
      <c r="A17" s="209"/>
      <c r="B17" s="204"/>
      <c r="C17" s="204"/>
      <c r="D17" s="204"/>
      <c r="E17" s="201">
        <v>2044</v>
      </c>
      <c r="F17" s="211">
        <v>572388.19999999995</v>
      </c>
      <c r="G17" s="211">
        <v>966663.3</v>
      </c>
      <c r="H17" s="211">
        <v>1187110.6000000001</v>
      </c>
      <c r="I17" s="212">
        <v>1608930.5</v>
      </c>
      <c r="J17" s="213">
        <v>152939.70000000001</v>
      </c>
      <c r="K17" s="211">
        <v>193738.3</v>
      </c>
      <c r="L17" s="214">
        <v>426570.8</v>
      </c>
      <c r="M17" s="213">
        <v>518265.5</v>
      </c>
      <c r="N17" s="211">
        <v>2157921.2999999998</v>
      </c>
      <c r="O17" s="212">
        <v>4228408.7</v>
      </c>
      <c r="P17" s="213">
        <v>4966069.9000000004</v>
      </c>
      <c r="Q17" s="213"/>
      <c r="R17" s="211">
        <v>6377567</v>
      </c>
    </row>
    <row r="18" spans="1:24" ht="15" thickBot="1" x14ac:dyDescent="0.35">
      <c r="A18" s="209"/>
      <c r="B18" s="204"/>
      <c r="C18" s="204"/>
      <c r="D18" s="204"/>
      <c r="E18" s="201">
        <v>2048</v>
      </c>
      <c r="F18" s="211">
        <v>697689.7</v>
      </c>
      <c r="G18" s="211">
        <v>1293981.6000000001</v>
      </c>
      <c r="H18" s="211">
        <v>1648655.4</v>
      </c>
      <c r="I18" s="212">
        <v>2359830.7999999998</v>
      </c>
      <c r="J18" s="213">
        <v>187208.1</v>
      </c>
      <c r="K18" s="211">
        <v>260768.8</v>
      </c>
      <c r="L18" s="214">
        <v>627361</v>
      </c>
      <c r="M18" s="213">
        <v>761611</v>
      </c>
      <c r="N18" s="211">
        <v>2280348.7999999998</v>
      </c>
      <c r="O18" s="212">
        <v>5323683</v>
      </c>
      <c r="P18" s="213">
        <v>6510494.5999999996</v>
      </c>
      <c r="Q18" s="213"/>
      <c r="R18" s="211">
        <v>8890233.1999999993</v>
      </c>
    </row>
    <row r="19" spans="1:24" ht="15" thickBot="1" x14ac:dyDescent="0.35">
      <c r="A19" s="210"/>
      <c r="B19" s="196"/>
      <c r="C19" s="196"/>
      <c r="D19" s="196"/>
      <c r="E19" s="201">
        <v>2052</v>
      </c>
      <c r="F19" s="211">
        <v>849994.6</v>
      </c>
      <c r="G19" s="211">
        <v>1731105.1</v>
      </c>
      <c r="H19" s="211">
        <v>2288291.5</v>
      </c>
      <c r="I19" s="212">
        <v>3459223.2</v>
      </c>
      <c r="J19" s="213">
        <v>228861.4</v>
      </c>
      <c r="K19" s="211">
        <v>469833.3</v>
      </c>
      <c r="L19" s="214">
        <v>921337.5</v>
      </c>
      <c r="M19" s="213">
        <v>1117893.2</v>
      </c>
      <c r="N19" s="211">
        <v>2415325.4</v>
      </c>
      <c r="O19" s="212">
        <v>6786388.2000000002</v>
      </c>
      <c r="P19" s="213">
        <v>8650848.8000000007</v>
      </c>
      <c r="Q19" s="213"/>
      <c r="R19" s="211">
        <v>12569028.1</v>
      </c>
    </row>
    <row r="23" spans="1:24" x14ac:dyDescent="0.3">
      <c r="B23" s="215" t="s">
        <v>313</v>
      </c>
      <c r="C23" s="215"/>
      <c r="D23" s="215"/>
      <c r="E23" s="215" t="s">
        <v>314</v>
      </c>
      <c r="F23" s="215"/>
      <c r="G23" s="181" t="s">
        <v>315</v>
      </c>
    </row>
    <row r="24" spans="1:24" x14ac:dyDescent="0.3">
      <c r="B24" s="181">
        <v>2019</v>
      </c>
      <c r="C24" s="181">
        <v>2020</v>
      </c>
      <c r="D24" s="181">
        <v>2021</v>
      </c>
      <c r="E24" s="181">
        <v>2022</v>
      </c>
      <c r="F24" s="181">
        <v>2023</v>
      </c>
      <c r="G24" s="181">
        <v>2024</v>
      </c>
      <c r="H24" s="181">
        <v>2025</v>
      </c>
      <c r="I24" s="182">
        <v>2028</v>
      </c>
      <c r="J24" s="183">
        <v>2030</v>
      </c>
      <c r="K24" s="181">
        <v>2032</v>
      </c>
      <c r="L24" s="184">
        <v>2036</v>
      </c>
      <c r="M24" s="183">
        <v>2040</v>
      </c>
      <c r="N24" s="181">
        <v>2044</v>
      </c>
      <c r="O24" s="182">
        <v>2048</v>
      </c>
      <c r="P24" s="183">
        <v>2050</v>
      </c>
      <c r="R24" s="181">
        <v>2052</v>
      </c>
    </row>
    <row r="25" spans="1:24" s="6" customFormat="1" x14ac:dyDescent="0.3">
      <c r="A25" s="6" t="s">
        <v>316</v>
      </c>
      <c r="B25" s="216">
        <f>B49+B50+B51+B52</f>
        <v>70483.322</v>
      </c>
      <c r="C25" s="216">
        <f t="shared" ref="C25:F25" si="0">C49+C50+C51+C52</f>
        <v>62800.626000000004</v>
      </c>
      <c r="D25" s="216">
        <f t="shared" si="0"/>
        <v>70146.457999999999</v>
      </c>
      <c r="E25" s="216">
        <f t="shared" si="0"/>
        <v>79469.299999999988</v>
      </c>
      <c r="F25" s="216">
        <f t="shared" si="0"/>
        <v>82506.92</v>
      </c>
      <c r="G25" s="6">
        <f>L4*11.63</f>
        <v>16173.841000000002</v>
      </c>
      <c r="I25" s="6">
        <f>L5*11.63</f>
        <v>24462.542000000001</v>
      </c>
      <c r="J25" s="6">
        <f>(I25+K25)/2</f>
        <v>30530.494500000001</v>
      </c>
      <c r="K25" s="6">
        <f>L6*11.63</f>
        <v>36598.447</v>
      </c>
      <c r="L25" s="6">
        <f>L7*11.63</f>
        <v>54366.760999999999</v>
      </c>
      <c r="M25" s="6">
        <f>L8*11.63</f>
        <v>80381.90800000001</v>
      </c>
      <c r="N25" s="6">
        <f>L9*11.63</f>
        <v>118468.99500000001</v>
      </c>
      <c r="O25" s="6">
        <f>L10*11.63</f>
        <v>174233.682</v>
      </c>
      <c r="P25" s="6">
        <f>(O25+R25)/2</f>
        <v>215055.56349999999</v>
      </c>
      <c r="R25" s="6">
        <f>L11*11.63</f>
        <v>255877.44500000001</v>
      </c>
      <c r="S25" s="6" t="s">
        <v>317</v>
      </c>
      <c r="X25" s="6" t="s">
        <v>318</v>
      </c>
    </row>
    <row r="26" spans="1:24" s="217" customFormat="1" x14ac:dyDescent="0.3">
      <c r="A26" s="217" t="s">
        <v>319</v>
      </c>
      <c r="B26" s="218">
        <f>B49</f>
        <v>10576.44</v>
      </c>
      <c r="C26" s="218">
        <f t="shared" ref="C26:F26" si="1">C49</f>
        <v>9209.482</v>
      </c>
      <c r="D26" s="218">
        <f t="shared" si="1"/>
        <v>10167.26</v>
      </c>
      <c r="E26" s="218">
        <f t="shared" si="1"/>
        <v>10843.81</v>
      </c>
      <c r="F26" s="218">
        <f t="shared" si="1"/>
        <v>13036.67</v>
      </c>
      <c r="J26" s="217">
        <f>Y4*1000</f>
        <v>28200</v>
      </c>
      <c r="M26" s="217">
        <f>Z4*1000</f>
        <v>46900</v>
      </c>
      <c r="P26" s="217">
        <f>AA4*1000</f>
        <v>69300</v>
      </c>
      <c r="S26" s="217" t="s">
        <v>320</v>
      </c>
    </row>
    <row r="27" spans="1:24" x14ac:dyDescent="0.3">
      <c r="A27" s="181" t="s">
        <v>321</v>
      </c>
      <c r="E27" s="181">
        <f>(E50+E52+E51)*0.2777778</f>
        <v>19062.637636122003</v>
      </c>
    </row>
    <row r="28" spans="1:24" s="219" customFormat="1" x14ac:dyDescent="0.3">
      <c r="A28" s="219" t="s">
        <v>322</v>
      </c>
      <c r="E28" s="220">
        <f>E26/E25</f>
        <v>0.1364528188872936</v>
      </c>
      <c r="O28" s="220">
        <f>O26/O25</f>
        <v>0</v>
      </c>
    </row>
    <row r="29" spans="1:24" x14ac:dyDescent="0.3">
      <c r="A29" s="181" t="s">
        <v>323</v>
      </c>
      <c r="E29" s="221">
        <f>1-E28</f>
        <v>0.86354718111270645</v>
      </c>
      <c r="O29" s="222">
        <f>1-O28</f>
        <v>1</v>
      </c>
    </row>
    <row r="30" spans="1:24" s="223" customFormat="1" x14ac:dyDescent="0.3">
      <c r="A30" s="223" t="s">
        <v>324</v>
      </c>
      <c r="E30" s="224"/>
      <c r="I30" s="182"/>
      <c r="J30" s="183"/>
      <c r="L30" s="184"/>
      <c r="M30" s="183"/>
      <c r="O30" s="222">
        <f>(O25-E25)/E25</f>
        <v>1.1924652916283398</v>
      </c>
      <c r="P30" s="183"/>
      <c r="Q30" s="183"/>
    </row>
    <row r="31" spans="1:24" x14ac:dyDescent="0.3">
      <c r="A31" s="181" t="s">
        <v>325</v>
      </c>
      <c r="E31" s="221"/>
      <c r="O31" s="222">
        <f>(O26-E26)/E26</f>
        <v>-1</v>
      </c>
    </row>
    <row r="32" spans="1:24" s="223" customFormat="1" x14ac:dyDescent="0.3">
      <c r="A32" s="223" t="s">
        <v>326</v>
      </c>
      <c r="E32" s="224"/>
      <c r="I32" s="182"/>
      <c r="J32" s="183"/>
      <c r="L32" s="184"/>
      <c r="M32" s="183"/>
      <c r="O32" s="222">
        <f>((O27-E27)/E27)</f>
        <v>-1</v>
      </c>
      <c r="P32" s="183"/>
      <c r="Q32" s="183"/>
    </row>
    <row r="33" spans="1:20" x14ac:dyDescent="0.3">
      <c r="E33" s="221"/>
      <c r="O33" s="222"/>
    </row>
    <row r="34" spans="1:20" x14ac:dyDescent="0.3">
      <c r="E34" s="221"/>
      <c r="O34" s="222"/>
    </row>
    <row r="35" spans="1:20" x14ac:dyDescent="0.3">
      <c r="E35" s="221"/>
      <c r="O35" s="222"/>
    </row>
    <row r="36" spans="1:20" x14ac:dyDescent="0.3">
      <c r="E36" s="221"/>
      <c r="O36" s="222"/>
    </row>
    <row r="37" spans="1:20" s="225" customFormat="1" x14ac:dyDescent="0.3">
      <c r="A37" s="225" t="s">
        <v>161</v>
      </c>
      <c r="I37" s="182"/>
      <c r="J37" s="183"/>
      <c r="L37" s="184"/>
      <c r="M37" s="183"/>
      <c r="O37" s="182"/>
      <c r="P37" s="183"/>
      <c r="Q37" s="183"/>
    </row>
    <row r="38" spans="1:20" s="226" customFormat="1" x14ac:dyDescent="0.3">
      <c r="A38" s="226" t="s">
        <v>327</v>
      </c>
      <c r="E38" s="226">
        <f>10301.62*0.2777778</f>
        <v>2861.5613400360003</v>
      </c>
      <c r="F38" s="227">
        <f>28990435.88*0.2777778</f>
        <v>8052899.4997874638</v>
      </c>
      <c r="I38" s="182"/>
      <c r="J38" s="183"/>
      <c r="L38" s="184"/>
      <c r="M38" s="183"/>
      <c r="O38" s="182"/>
      <c r="P38" s="228"/>
      <c r="Q38" s="228"/>
      <c r="T38" s="226" t="s">
        <v>328</v>
      </c>
    </row>
    <row r="39" spans="1:20" s="225" customFormat="1" x14ac:dyDescent="0.3">
      <c r="A39" s="225" t="s">
        <v>329</v>
      </c>
      <c r="E39" s="225">
        <f>(E56+E57+E58)*0.2777778</f>
        <v>10281.181933605601</v>
      </c>
      <c r="F39" s="229"/>
      <c r="I39" s="182"/>
      <c r="J39" s="183"/>
      <c r="L39" s="184"/>
      <c r="M39" s="183"/>
      <c r="O39" s="182"/>
      <c r="P39" s="228"/>
      <c r="Q39" s="228"/>
      <c r="R39" s="229">
        <f>(O39-E39)/E39</f>
        <v>-1</v>
      </c>
      <c r="T39" s="225" t="s">
        <v>330</v>
      </c>
    </row>
    <row r="40" spans="1:20" s="225" customFormat="1" x14ac:dyDescent="0.3">
      <c r="A40" s="225" t="s">
        <v>160</v>
      </c>
      <c r="E40" s="225">
        <f>E56*0.2777778</f>
        <v>2605.1202084096003</v>
      </c>
      <c r="F40" s="229"/>
      <c r="I40" s="182"/>
      <c r="J40" s="183"/>
      <c r="L40" s="184"/>
      <c r="M40" s="183"/>
      <c r="O40" s="182"/>
      <c r="P40" s="183"/>
      <c r="Q40" s="183"/>
      <c r="R40" s="229"/>
      <c r="T40" s="225" t="s">
        <v>331</v>
      </c>
    </row>
    <row r="41" spans="1:20" s="225" customFormat="1" x14ac:dyDescent="0.3">
      <c r="A41" s="225" t="s">
        <v>332</v>
      </c>
      <c r="E41" s="225">
        <f>E57*0.2777778</f>
        <v>4518.4003614720004</v>
      </c>
      <c r="F41" s="229"/>
      <c r="I41" s="182"/>
      <c r="J41" s="183"/>
      <c r="L41" s="184"/>
      <c r="M41" s="183"/>
      <c r="O41" s="182"/>
      <c r="P41" s="183"/>
      <c r="Q41" s="183"/>
      <c r="R41" s="229"/>
      <c r="T41" s="225" t="s">
        <v>333</v>
      </c>
    </row>
    <row r="42" spans="1:20" s="225" customFormat="1" x14ac:dyDescent="0.3">
      <c r="A42" s="225" t="s">
        <v>334</v>
      </c>
      <c r="E42" s="225">
        <f>E58*0.2777778</f>
        <v>3157.6613637240002</v>
      </c>
      <c r="F42" s="229"/>
      <c r="I42" s="182"/>
      <c r="J42" s="183"/>
      <c r="L42" s="184"/>
      <c r="M42" s="183"/>
      <c r="O42" s="182"/>
      <c r="P42" s="183"/>
      <c r="Q42" s="183"/>
      <c r="R42" s="229"/>
    </row>
    <row r="43" spans="1:20" s="225" customFormat="1" x14ac:dyDescent="0.3">
      <c r="A43" s="225" t="s">
        <v>335</v>
      </c>
      <c r="E43" s="225">
        <f>E41+E42</f>
        <v>7676.0617251960011</v>
      </c>
      <c r="F43" s="230">
        <f>29343.096*0.2777778</f>
        <v>8150.8606520688008</v>
      </c>
      <c r="G43" s="225">
        <f>E43/0.2777778</f>
        <v>27633.820000000003</v>
      </c>
      <c r="I43" s="182"/>
      <c r="J43" s="183"/>
      <c r="L43" s="184"/>
      <c r="M43" s="183"/>
      <c r="O43" s="182"/>
      <c r="P43" s="183"/>
      <c r="Q43" s="183"/>
      <c r="R43" s="229"/>
    </row>
    <row r="44" spans="1:20" s="225" customFormat="1" x14ac:dyDescent="0.3">
      <c r="I44" s="182"/>
      <c r="J44" s="183"/>
      <c r="L44" s="184"/>
      <c r="M44" s="183"/>
      <c r="O44" s="182"/>
      <c r="P44" s="183"/>
      <c r="Q44" s="183"/>
      <c r="R44" s="229"/>
    </row>
    <row r="45" spans="1:20" x14ac:dyDescent="0.3">
      <c r="A45" s="181" t="s">
        <v>336</v>
      </c>
      <c r="E45" s="231">
        <f>E39/(E38+E39)</f>
        <v>0.78227062033730832</v>
      </c>
    </row>
    <row r="46" spans="1:20" x14ac:dyDescent="0.3">
      <c r="A46" s="181" t="s">
        <v>337</v>
      </c>
      <c r="E46" s="221">
        <f>E38/(E38+E39)</f>
        <v>0.21772937966269174</v>
      </c>
    </row>
    <row r="47" spans="1:20" x14ac:dyDescent="0.3">
      <c r="A47" s="225" t="s">
        <v>338</v>
      </c>
      <c r="B47" s="225"/>
      <c r="C47" s="225"/>
      <c r="D47" s="225"/>
      <c r="O47" s="222">
        <f>(O38-E38)/E38</f>
        <v>-1</v>
      </c>
    </row>
    <row r="48" spans="1:20" s="232" customFormat="1" x14ac:dyDescent="0.3">
      <c r="A48" s="232" t="s">
        <v>97</v>
      </c>
      <c r="B48" s="232">
        <f>B24</f>
        <v>2019</v>
      </c>
      <c r="C48" s="232">
        <f t="shared" ref="C48:R48" si="2">C24</f>
        <v>2020</v>
      </c>
      <c r="D48" s="232">
        <f t="shared" si="2"/>
        <v>2021</v>
      </c>
      <c r="E48" s="232">
        <f t="shared" si="2"/>
        <v>2022</v>
      </c>
      <c r="F48" s="232">
        <f t="shared" si="2"/>
        <v>2023</v>
      </c>
      <c r="G48" s="232">
        <f t="shared" si="2"/>
        <v>2024</v>
      </c>
      <c r="H48" s="232">
        <f t="shared" si="2"/>
        <v>2025</v>
      </c>
      <c r="I48" s="232">
        <f t="shared" si="2"/>
        <v>2028</v>
      </c>
      <c r="J48" s="232">
        <f t="shared" si="2"/>
        <v>2030</v>
      </c>
      <c r="K48" s="232">
        <f t="shared" si="2"/>
        <v>2032</v>
      </c>
      <c r="L48" s="232">
        <f t="shared" si="2"/>
        <v>2036</v>
      </c>
      <c r="M48" s="232">
        <f t="shared" si="2"/>
        <v>2040</v>
      </c>
      <c r="N48" s="232">
        <f t="shared" si="2"/>
        <v>2044</v>
      </c>
      <c r="O48" s="232">
        <f t="shared" si="2"/>
        <v>2048</v>
      </c>
      <c r="P48" s="232">
        <f t="shared" si="2"/>
        <v>2050</v>
      </c>
      <c r="R48" s="232">
        <f t="shared" si="2"/>
        <v>2052</v>
      </c>
    </row>
    <row r="49" spans="1:17" x14ac:dyDescent="0.3">
      <c r="A49" s="181" t="s">
        <v>339</v>
      </c>
      <c r="B49" s="233">
        <v>10576.44</v>
      </c>
      <c r="C49" s="233">
        <v>9209.482</v>
      </c>
      <c r="D49" s="233">
        <v>10167.26</v>
      </c>
      <c r="E49" s="233">
        <v>10843.81</v>
      </c>
      <c r="F49" s="233">
        <v>13036.67</v>
      </c>
    </row>
    <row r="50" spans="1:17" x14ac:dyDescent="0.3">
      <c r="A50" s="181" t="s">
        <v>340</v>
      </c>
      <c r="B50" s="233">
        <v>15875.22</v>
      </c>
      <c r="C50" s="233">
        <v>8280.7870000000003</v>
      </c>
      <c r="D50" s="233">
        <v>11261.34</v>
      </c>
      <c r="E50" s="233">
        <f>E58</f>
        <v>11367.58</v>
      </c>
      <c r="F50" s="233">
        <v>11367.58</v>
      </c>
    </row>
    <row r="51" spans="1:17" x14ac:dyDescent="0.3">
      <c r="A51" s="181" t="s">
        <v>341</v>
      </c>
      <c r="B51" s="233">
        <v>136.322</v>
      </c>
      <c r="C51" s="233">
        <v>5783.4470000000001</v>
      </c>
      <c r="D51" s="233">
        <v>6232.6379999999999</v>
      </c>
      <c r="E51" s="233">
        <f>E57</f>
        <v>16266.24</v>
      </c>
      <c r="F51" s="233">
        <v>17976.259999999998</v>
      </c>
    </row>
    <row r="52" spans="1:17" x14ac:dyDescent="0.3">
      <c r="A52" s="181" t="s">
        <v>342</v>
      </c>
      <c r="B52" s="233">
        <v>43895.34</v>
      </c>
      <c r="C52" s="233">
        <v>39526.910000000003</v>
      </c>
      <c r="D52" s="233">
        <v>42485.22</v>
      </c>
      <c r="E52" s="233">
        <v>40991.67</v>
      </c>
      <c r="F52" s="233">
        <v>40126.410000000003</v>
      </c>
    </row>
    <row r="53" spans="1:17" x14ac:dyDescent="0.3">
      <c r="A53" s="181" t="s">
        <v>343</v>
      </c>
      <c r="B53" s="233">
        <f>SUM(B49:B52)</f>
        <v>70483.322</v>
      </c>
      <c r="C53" s="233">
        <f t="shared" ref="C53:F53" si="3">SUM(C49:C52)</f>
        <v>62800.626000000004</v>
      </c>
      <c r="D53" s="233">
        <f t="shared" si="3"/>
        <v>70146.457999999999</v>
      </c>
      <c r="E53" s="233">
        <f t="shared" si="3"/>
        <v>79469.299999999988</v>
      </c>
      <c r="F53" s="233">
        <f t="shared" si="3"/>
        <v>82506.92</v>
      </c>
    </row>
    <row r="54" spans="1:17" x14ac:dyDescent="0.3">
      <c r="B54" s="233"/>
      <c r="C54" s="233"/>
      <c r="D54" s="233"/>
      <c r="E54" s="233"/>
      <c r="F54" s="233"/>
    </row>
    <row r="55" spans="1:17" x14ac:dyDescent="0.3">
      <c r="A55" s="181" t="s">
        <v>344</v>
      </c>
      <c r="B55" s="233">
        <f>0.95*B49</f>
        <v>10047.618</v>
      </c>
      <c r="C55" s="233">
        <f>C49*0.95</f>
        <v>8749.0078999999987</v>
      </c>
      <c r="D55" s="233">
        <f>0.95*D49</f>
        <v>9658.896999999999</v>
      </c>
      <c r="E55" s="233">
        <f>E49*0.95</f>
        <v>10301.619499999999</v>
      </c>
      <c r="F55" s="233">
        <f>0.95*F49</f>
        <v>12384.836499999999</v>
      </c>
    </row>
    <row r="56" spans="1:17" x14ac:dyDescent="0.3">
      <c r="A56" s="181" t="s">
        <v>345</v>
      </c>
      <c r="B56" s="233">
        <v>9120.0020000000004</v>
      </c>
      <c r="C56" s="233">
        <f>9065.598</f>
        <v>9065.598</v>
      </c>
      <c r="D56" s="233">
        <v>9113.6</v>
      </c>
      <c r="E56" s="233">
        <f>9378.432</f>
        <v>9378.4320000000007</v>
      </c>
      <c r="F56" s="233">
        <v>10051.008</v>
      </c>
    </row>
    <row r="57" spans="1:17" x14ac:dyDescent="0.3">
      <c r="A57" s="181" t="s">
        <v>346</v>
      </c>
      <c r="B57" s="233">
        <f>B51</f>
        <v>136.322</v>
      </c>
      <c r="C57" s="233">
        <f>C51</f>
        <v>5783.4470000000001</v>
      </c>
      <c r="D57" s="233">
        <f>D51</f>
        <v>6232.6379999999999</v>
      </c>
      <c r="E57" s="233">
        <v>16266.24</v>
      </c>
      <c r="F57" s="233">
        <f>F51</f>
        <v>17976.259999999998</v>
      </c>
    </row>
    <row r="58" spans="1:17" x14ac:dyDescent="0.3">
      <c r="A58" s="181" t="s">
        <v>347</v>
      </c>
      <c r="B58" s="233">
        <f>B50</f>
        <v>15875.22</v>
      </c>
      <c r="C58" s="233">
        <f>C50</f>
        <v>8280.7870000000003</v>
      </c>
      <c r="D58" s="233">
        <f>D50</f>
        <v>11261.34</v>
      </c>
      <c r="E58" s="234">
        <v>11367.58</v>
      </c>
      <c r="F58" s="233">
        <f>F50</f>
        <v>11367.58</v>
      </c>
    </row>
    <row r="59" spans="1:17" x14ac:dyDescent="0.3">
      <c r="B59" s="233"/>
      <c r="C59" s="233"/>
      <c r="D59" s="233"/>
      <c r="E59" s="234"/>
      <c r="F59" s="233"/>
    </row>
    <row r="60" spans="1:17" x14ac:dyDescent="0.3">
      <c r="A60" s="181" t="s">
        <v>348</v>
      </c>
      <c r="B60" s="233">
        <f>B49-B55</f>
        <v>528.82200000000012</v>
      </c>
      <c r="C60" s="233">
        <f t="shared" ref="C60:F60" si="4">C49-C55</f>
        <v>460.47410000000127</v>
      </c>
      <c r="D60" s="233">
        <f t="shared" si="4"/>
        <v>508.36300000000119</v>
      </c>
      <c r="E60" s="233">
        <f t="shared" si="4"/>
        <v>542.19050000000061</v>
      </c>
      <c r="F60" s="233">
        <f t="shared" si="4"/>
        <v>651.83350000000064</v>
      </c>
    </row>
    <row r="61" spans="1:17" x14ac:dyDescent="0.3">
      <c r="A61" s="181" t="s">
        <v>349</v>
      </c>
      <c r="B61" s="233">
        <f>B52-B56</f>
        <v>34775.337999999996</v>
      </c>
      <c r="C61" s="233">
        <f t="shared" ref="C61:F61" si="5">C52-C56</f>
        <v>30461.312000000005</v>
      </c>
      <c r="D61" s="233">
        <f t="shared" si="5"/>
        <v>33371.620000000003</v>
      </c>
      <c r="E61" s="233">
        <f t="shared" si="5"/>
        <v>31613.237999999998</v>
      </c>
      <c r="F61" s="233">
        <f t="shared" si="5"/>
        <v>30075.402000000002</v>
      </c>
    </row>
    <row r="62" spans="1:17" x14ac:dyDescent="0.3">
      <c r="E62" s="235"/>
    </row>
    <row r="63" spans="1:17" ht="45.6" x14ac:dyDescent="0.5">
      <c r="A63" s="236" t="s">
        <v>350</v>
      </c>
      <c r="G63" s="181" t="s">
        <v>351</v>
      </c>
      <c r="J63" s="237" t="s">
        <v>352</v>
      </c>
      <c r="O63" s="238"/>
      <c r="P63" s="238" t="s">
        <v>353</v>
      </c>
    </row>
    <row r="64" spans="1:17" s="232" customFormat="1" x14ac:dyDescent="0.3">
      <c r="A64" s="232" t="s">
        <v>97</v>
      </c>
      <c r="B64" s="232">
        <v>2019</v>
      </c>
      <c r="C64" s="232">
        <v>2020</v>
      </c>
      <c r="D64" s="232">
        <v>2021</v>
      </c>
      <c r="E64" s="232">
        <v>2022</v>
      </c>
      <c r="F64" s="232">
        <v>2023</v>
      </c>
      <c r="H64" s="232">
        <v>2024</v>
      </c>
      <c r="I64" s="182">
        <f>I24</f>
        <v>2028</v>
      </c>
      <c r="J64" s="183">
        <f t="shared" ref="J64:P64" si="6">J24</f>
        <v>2030</v>
      </c>
      <c r="K64" s="232">
        <f t="shared" si="6"/>
        <v>2032</v>
      </c>
      <c r="L64" s="184">
        <f t="shared" si="6"/>
        <v>2036</v>
      </c>
      <c r="M64" s="183">
        <f t="shared" si="6"/>
        <v>2040</v>
      </c>
      <c r="N64" s="232">
        <f t="shared" si="6"/>
        <v>2044</v>
      </c>
      <c r="O64" s="182">
        <f t="shared" si="6"/>
        <v>2048</v>
      </c>
      <c r="P64" s="183">
        <f t="shared" si="6"/>
        <v>2050</v>
      </c>
      <c r="Q64" s="183">
        <v>2052</v>
      </c>
    </row>
    <row r="65" spans="1:25" x14ac:dyDescent="0.3">
      <c r="A65" s="181" t="s">
        <v>354</v>
      </c>
      <c r="B65" s="233">
        <f>(B49+B50+B51+B52)/3.6</f>
        <v>19578.700555555555</v>
      </c>
      <c r="C65" s="233">
        <f t="shared" ref="C65:F65" si="7">(C49+C50+C51+C52)/3.6</f>
        <v>17444.618333333336</v>
      </c>
      <c r="D65" s="233">
        <f t="shared" si="7"/>
        <v>19485.127222222221</v>
      </c>
      <c r="E65" s="233">
        <f t="shared" si="7"/>
        <v>22074.805555555551</v>
      </c>
      <c r="F65" s="233">
        <f t="shared" si="7"/>
        <v>22918.588888888888</v>
      </c>
      <c r="G65" s="239">
        <f>(F65/D65)^(1/(F64-B64))-1</f>
        <v>4.1408593708299968E-2</v>
      </c>
      <c r="H65" s="240">
        <f>L4*11.63</f>
        <v>16173.841000000002</v>
      </c>
      <c r="I65" s="241">
        <f>L5*11.63</f>
        <v>24462.542000000001</v>
      </c>
      <c r="J65" s="242">
        <f>(I65+K65)/2</f>
        <v>30530.494500000001</v>
      </c>
      <c r="K65" s="240">
        <f>L6*11.63</f>
        <v>36598.447</v>
      </c>
      <c r="L65" s="243">
        <f>L7*11.63</f>
        <v>54366.760999999999</v>
      </c>
      <c r="M65" s="242">
        <f>L8*11.63</f>
        <v>80381.90800000001</v>
      </c>
      <c r="N65" s="240">
        <f>L9*11.63</f>
        <v>118468.99500000001</v>
      </c>
      <c r="O65" s="241">
        <f>L10*11.63</f>
        <v>174233.682</v>
      </c>
      <c r="P65" s="242">
        <f>(O65+Q65)/2</f>
        <v>215055.56349999999</v>
      </c>
      <c r="Q65" s="242">
        <f>L11*11.63</f>
        <v>255877.44500000001</v>
      </c>
      <c r="R65" s="233"/>
      <c r="S65" s="233" t="s">
        <v>355</v>
      </c>
      <c r="T65" s="233"/>
      <c r="U65" s="233"/>
      <c r="V65" s="233"/>
      <c r="W65" s="233"/>
      <c r="X65" s="233"/>
      <c r="Y65" s="233"/>
    </row>
    <row r="66" spans="1:25" x14ac:dyDescent="0.3">
      <c r="A66" s="181" t="s">
        <v>356</v>
      </c>
      <c r="B66" s="233">
        <f>B49/3.6</f>
        <v>2937.9</v>
      </c>
      <c r="C66" s="233">
        <f t="shared" ref="C66:F66" si="8">C49/3.6</f>
        <v>2558.1894444444442</v>
      </c>
      <c r="D66" s="233">
        <f t="shared" si="8"/>
        <v>2824.2388888888891</v>
      </c>
      <c r="E66" s="233">
        <f t="shared" si="8"/>
        <v>3012.1694444444443</v>
      </c>
      <c r="F66" s="233">
        <f t="shared" si="8"/>
        <v>3621.297222222222</v>
      </c>
      <c r="G66" s="239">
        <f>(F66/B66)^(1/(F64-B64))-1</f>
        <v>5.3675278227879542E-2</v>
      </c>
      <c r="H66" s="240"/>
      <c r="I66" s="241"/>
      <c r="J66" s="242"/>
      <c r="K66" s="240"/>
      <c r="L66" s="243"/>
      <c r="M66" s="242"/>
      <c r="N66" s="240"/>
      <c r="O66" s="241"/>
      <c r="P66" s="242"/>
      <c r="Q66" s="242"/>
      <c r="R66" s="233"/>
      <c r="S66" s="233"/>
      <c r="T66" s="233"/>
      <c r="U66" s="233"/>
      <c r="V66" s="233"/>
      <c r="W66" s="233"/>
      <c r="X66" s="233"/>
      <c r="Y66" s="233"/>
    </row>
    <row r="67" spans="1:25" x14ac:dyDescent="0.3">
      <c r="A67" s="181" t="s">
        <v>357</v>
      </c>
      <c r="B67" s="233">
        <f>(B50+B51+B52)/3.6</f>
        <v>16640.800555555554</v>
      </c>
      <c r="C67" s="233">
        <f t="shared" ref="C67:F67" si="9">(C50+C51+C52)/3.6</f>
        <v>14886.428888888888</v>
      </c>
      <c r="D67" s="233">
        <f t="shared" si="9"/>
        <v>16660.888333333332</v>
      </c>
      <c r="E67" s="233">
        <f t="shared" si="9"/>
        <v>19062.636111111107</v>
      </c>
      <c r="F67" s="233">
        <f t="shared" si="9"/>
        <v>19297.291666666668</v>
      </c>
      <c r="G67" s="239">
        <f>(F67/B67)^(1/(F64-B64))-1</f>
        <v>3.7720834851399765E-2</v>
      </c>
      <c r="H67" s="240"/>
      <c r="I67" s="241"/>
      <c r="J67" s="242"/>
      <c r="K67" s="240"/>
      <c r="L67" s="243"/>
      <c r="M67" s="242"/>
      <c r="N67" s="240"/>
      <c r="O67" s="241"/>
      <c r="P67" s="242"/>
      <c r="Q67" s="242"/>
      <c r="R67" s="233"/>
      <c r="S67" s="233"/>
      <c r="T67" s="233"/>
      <c r="U67" s="233"/>
      <c r="V67" s="233"/>
      <c r="W67" s="233"/>
      <c r="X67" s="233"/>
      <c r="Y67" s="233"/>
    </row>
    <row r="68" spans="1:25" s="244" customFormat="1" x14ac:dyDescent="0.3">
      <c r="A68" s="244" t="s">
        <v>358</v>
      </c>
      <c r="B68" s="245">
        <f>B55/3.6</f>
        <v>2791.0050000000001</v>
      </c>
      <c r="C68" s="245">
        <f t="shared" ref="C68:F68" si="10">C55/3.6</f>
        <v>2430.2799722222217</v>
      </c>
      <c r="D68" s="245">
        <f t="shared" si="10"/>
        <v>2683.0269444444443</v>
      </c>
      <c r="E68" s="245">
        <f t="shared" si="10"/>
        <v>2861.5609722222221</v>
      </c>
      <c r="F68" s="245">
        <f t="shared" si="10"/>
        <v>3440.232361111111</v>
      </c>
      <c r="G68" s="239">
        <f>(F68/B68)^(1/(F64-B64))-1</f>
        <v>5.3675278227879542E-2</v>
      </c>
      <c r="H68" s="245"/>
      <c r="I68" s="245"/>
      <c r="J68" s="245">
        <f>J26*0.95</f>
        <v>26790</v>
      </c>
      <c r="K68" s="245">
        <f>E68*(1+G68)^(J64-E64)</f>
        <v>4347.6775685872717</v>
      </c>
      <c r="L68" s="245"/>
      <c r="M68" s="245">
        <f>M26*0.95</f>
        <v>44555</v>
      </c>
      <c r="N68" s="245">
        <f>E68*(1+G68)^(M64-E64)</f>
        <v>7333.7353602111407</v>
      </c>
      <c r="O68" s="245"/>
      <c r="P68" s="245">
        <f>P26*0.95</f>
        <v>65835</v>
      </c>
      <c r="Q68" s="245"/>
      <c r="S68" s="244" t="s">
        <v>359</v>
      </c>
    </row>
    <row r="69" spans="1:25" s="246" customFormat="1" x14ac:dyDescent="0.3">
      <c r="A69" s="246" t="s">
        <v>360</v>
      </c>
      <c r="B69" s="247">
        <f t="shared" ref="B69:F71" si="11">B56/3.6</f>
        <v>2533.3338888888889</v>
      </c>
      <c r="C69" s="247">
        <f t="shared" si="11"/>
        <v>2518.2216666666668</v>
      </c>
      <c r="D69" s="247">
        <f t="shared" si="11"/>
        <v>2531.5555555555557</v>
      </c>
      <c r="E69" s="247">
        <f t="shared" si="11"/>
        <v>2605.1200000000003</v>
      </c>
      <c r="F69" s="247">
        <f t="shared" si="11"/>
        <v>2791.9466666666667</v>
      </c>
      <c r="G69" s="239">
        <f>(F69/B69)^(1/(F64-B64))-1</f>
        <v>2.4598395095139836E-2</v>
      </c>
      <c r="I69" s="248"/>
      <c r="J69" s="249"/>
      <c r="L69" s="250"/>
      <c r="M69" s="249"/>
      <c r="O69" s="248"/>
      <c r="P69" s="249"/>
      <c r="Q69" s="249"/>
    </row>
    <row r="70" spans="1:25" s="251" customFormat="1" x14ac:dyDescent="0.3">
      <c r="A70" s="251" t="s">
        <v>361</v>
      </c>
      <c r="B70" s="252">
        <f>B58/3.6</f>
        <v>4409.7833333333328</v>
      </c>
      <c r="C70" s="252">
        <f t="shared" si="11"/>
        <v>1606.5130555555556</v>
      </c>
      <c r="D70" s="252">
        <f t="shared" si="11"/>
        <v>1731.2883333333332</v>
      </c>
      <c r="E70" s="252">
        <f t="shared" si="11"/>
        <v>4518.3999999999996</v>
      </c>
      <c r="F70" s="252">
        <f t="shared" si="11"/>
        <v>4993.4055555555551</v>
      </c>
      <c r="G70" s="239">
        <f>(F70/B70)^(1/(F64-B64))-1</f>
        <v>3.1560958665195482E-2</v>
      </c>
      <c r="I70" s="253"/>
      <c r="J70" s="254"/>
      <c r="L70" s="255"/>
      <c r="M70" s="254"/>
      <c r="O70" s="253"/>
      <c r="P70" s="254"/>
      <c r="Q70" s="254"/>
    </row>
    <row r="71" spans="1:25" s="256" customFormat="1" x14ac:dyDescent="0.3">
      <c r="A71" s="256" t="s">
        <v>362</v>
      </c>
      <c r="B71" s="257">
        <f>B57/3.6</f>
        <v>37.867222222222225</v>
      </c>
      <c r="C71" s="257">
        <f t="shared" si="11"/>
        <v>2300.2186111111109</v>
      </c>
      <c r="D71" s="257">
        <f t="shared" si="11"/>
        <v>3128.15</v>
      </c>
      <c r="E71" s="257">
        <f t="shared" si="11"/>
        <v>3157.661111111111</v>
      </c>
      <c r="F71" s="257">
        <f t="shared" si="11"/>
        <v>3157.661111111111</v>
      </c>
      <c r="G71" s="239">
        <f>(F71/C71)^(1/(F64-C64))-1</f>
        <v>0.11138739921046215</v>
      </c>
      <c r="I71" s="258"/>
      <c r="J71" s="259"/>
      <c r="L71" s="260"/>
      <c r="M71" s="259"/>
      <c r="O71" s="258"/>
      <c r="P71" s="259"/>
      <c r="Q71" s="259"/>
    </row>
    <row r="72" spans="1:25" s="256" customFormat="1" x14ac:dyDescent="0.3">
      <c r="A72" s="256" t="s">
        <v>363</v>
      </c>
      <c r="B72" s="257">
        <f>B69+B70+B71</f>
        <v>6980.9844444444434</v>
      </c>
      <c r="C72" s="257">
        <f t="shared" ref="C72:F72" si="12">C69+C70+C71</f>
        <v>6424.9533333333329</v>
      </c>
      <c r="D72" s="257">
        <f t="shared" si="12"/>
        <v>7390.9938888888883</v>
      </c>
      <c r="E72" s="257">
        <f t="shared" si="12"/>
        <v>10281.181111111111</v>
      </c>
      <c r="F72" s="257">
        <f t="shared" si="12"/>
        <v>10943.013333333332</v>
      </c>
      <c r="G72" s="239">
        <f>(F72/B72)^(1/(F64-B64))-1</f>
        <v>0.11893553034658932</v>
      </c>
      <c r="I72" s="258"/>
      <c r="J72" s="259"/>
      <c r="L72" s="260"/>
      <c r="M72" s="259"/>
      <c r="O72" s="258"/>
      <c r="P72" s="259"/>
      <c r="Q72" s="259"/>
    </row>
    <row r="73" spans="1:25" s="256" customFormat="1" x14ac:dyDescent="0.3">
      <c r="B73" s="257"/>
      <c r="C73" s="257"/>
      <c r="D73" s="257"/>
      <c r="E73" s="257"/>
      <c r="F73" s="257"/>
      <c r="G73" s="239"/>
      <c r="I73" s="258"/>
      <c r="J73" s="259"/>
      <c r="L73" s="260"/>
      <c r="M73" s="259"/>
      <c r="O73" s="258"/>
      <c r="P73" s="259"/>
      <c r="Q73" s="259"/>
    </row>
    <row r="75" spans="1:25" s="183" customFormat="1" x14ac:dyDescent="0.3">
      <c r="A75" s="183" t="s">
        <v>364</v>
      </c>
      <c r="B75" s="261">
        <f>B60/3.6</f>
        <v>146.89500000000004</v>
      </c>
      <c r="C75" s="261">
        <f t="shared" ref="C75:F76" si="13">C60/3.6</f>
        <v>127.90947222222258</v>
      </c>
      <c r="D75" s="261">
        <f t="shared" si="13"/>
        <v>141.21194444444478</v>
      </c>
      <c r="E75" s="261">
        <f t="shared" si="13"/>
        <v>150.60847222222239</v>
      </c>
      <c r="F75" s="261">
        <f t="shared" si="13"/>
        <v>181.0648611111113</v>
      </c>
      <c r="I75" s="182"/>
      <c r="L75" s="184"/>
      <c r="O75" s="182"/>
    </row>
    <row r="76" spans="1:25" s="183" customFormat="1" x14ac:dyDescent="0.3">
      <c r="A76" s="183" t="s">
        <v>365</v>
      </c>
      <c r="B76" s="261">
        <f>B61/3.6</f>
        <v>9659.8161111111094</v>
      </c>
      <c r="C76" s="261">
        <f t="shared" si="13"/>
        <v>8461.4755555555566</v>
      </c>
      <c r="D76" s="261">
        <f t="shared" si="13"/>
        <v>9269.8944444444442</v>
      </c>
      <c r="E76" s="261">
        <f t="shared" si="13"/>
        <v>8781.4549999999999</v>
      </c>
      <c r="F76" s="261">
        <f t="shared" si="13"/>
        <v>8354.2783333333336</v>
      </c>
      <c r="I76" s="182"/>
      <c r="L76" s="184"/>
      <c r="O76" s="182"/>
    </row>
    <row r="78" spans="1:25" x14ac:dyDescent="0.3">
      <c r="A78" s="181" t="s">
        <v>366</v>
      </c>
      <c r="B78" s="181">
        <f>B68/(B68+B75)</f>
        <v>0.95</v>
      </c>
      <c r="C78" s="181">
        <f t="shared" ref="C78:F79" si="14">C68/(C68+C75)</f>
        <v>0.94999999999999984</v>
      </c>
      <c r="D78" s="181">
        <f t="shared" si="14"/>
        <v>0.95</v>
      </c>
      <c r="E78" s="181">
        <f t="shared" si="14"/>
        <v>0.95</v>
      </c>
      <c r="F78" s="181">
        <f t="shared" si="14"/>
        <v>0.95</v>
      </c>
    </row>
    <row r="79" spans="1:25" x14ac:dyDescent="0.3">
      <c r="A79" s="181" t="s">
        <v>367</v>
      </c>
      <c r="B79" s="221">
        <f>B69/(B69+B76)</f>
        <v>0.2077669748087155</v>
      </c>
      <c r="C79" s="221">
        <f t="shared" si="14"/>
        <v>0.22935256006604107</v>
      </c>
      <c r="D79" s="221">
        <f t="shared" si="14"/>
        <v>0.21451224684725653</v>
      </c>
      <c r="E79" s="221">
        <f t="shared" si="14"/>
        <v>0.22878872707552536</v>
      </c>
      <c r="F79" s="221">
        <f t="shared" si="14"/>
        <v>0.2504836091741075</v>
      </c>
    </row>
    <row r="80" spans="1:25" x14ac:dyDescent="0.3">
      <c r="A80" s="181" t="s">
        <v>368</v>
      </c>
      <c r="B80" s="221">
        <f>B70/(B70+B71)</f>
        <v>0.9914860167746492</v>
      </c>
      <c r="C80" s="221">
        <f t="shared" ref="C80:F80" si="15">C70/(C70+C71)</f>
        <v>0.4112166364695013</v>
      </c>
      <c r="D80" s="221">
        <f t="shared" si="15"/>
        <v>0.3562733416036078</v>
      </c>
      <c r="E80" s="221">
        <f t="shared" si="15"/>
        <v>0.58863523030836851</v>
      </c>
      <c r="F80" s="221">
        <f t="shared" si="15"/>
        <v>0.61260762054318729</v>
      </c>
    </row>
    <row r="81" spans="1:17" x14ac:dyDescent="0.3">
      <c r="A81" s="181" t="s">
        <v>369</v>
      </c>
      <c r="B81" s="221">
        <f>B71/(B71+B70)</f>
        <v>8.5139832253508137E-3</v>
      </c>
      <c r="C81" s="221">
        <f t="shared" ref="C81:F81" si="16">C71/(C71+C70)</f>
        <v>0.58878336353049865</v>
      </c>
      <c r="D81" s="221">
        <f t="shared" si="16"/>
        <v>0.6437266583963922</v>
      </c>
      <c r="E81" s="221">
        <f t="shared" si="16"/>
        <v>0.41136476969163155</v>
      </c>
      <c r="F81" s="221">
        <f t="shared" si="16"/>
        <v>0.38739237945681276</v>
      </c>
    </row>
    <row r="82" spans="1:17" x14ac:dyDescent="0.3">
      <c r="A82" s="181" t="s">
        <v>370</v>
      </c>
      <c r="B82" s="221">
        <f>SUM(B69:B71)/(B65-B68)</f>
        <v>0.41583935218161766</v>
      </c>
      <c r="C82" s="221">
        <f t="shared" ref="C82:F82" si="17">SUM(C69:C71)/(C65-C68)</f>
        <v>0.4279211763319995</v>
      </c>
      <c r="D82" s="221">
        <f t="shared" si="17"/>
        <v>0.43988511952068954</v>
      </c>
      <c r="E82" s="221">
        <f t="shared" si="17"/>
        <v>0.53510905284730503</v>
      </c>
      <c r="F82" s="221">
        <f t="shared" si="17"/>
        <v>0.56180372906346965</v>
      </c>
      <c r="J82" s="183">
        <f>AVERAGE(B82:F82)*(J65-J68)</f>
        <v>1780.8931428276426</v>
      </c>
      <c r="M82" s="183">
        <f>AVERAGE(B82:F82)*(M65-M68)</f>
        <v>17057.609571653378</v>
      </c>
      <c r="P82" s="183">
        <f>AVERAGE(B82:F82)*(P65-P68)</f>
        <v>71045.654072216043</v>
      </c>
    </row>
    <row r="84" spans="1:17" s="183" customFormat="1" x14ac:dyDescent="0.3">
      <c r="A84" s="183" t="s">
        <v>371</v>
      </c>
      <c r="B84" s="228">
        <f>B75/(B75+B68)</f>
        <v>5.000000000000001E-2</v>
      </c>
      <c r="C84" s="228">
        <f t="shared" ref="C84:F85" si="18">C75/(C75+C68)</f>
        <v>5.0000000000000142E-2</v>
      </c>
      <c r="D84" s="228">
        <f t="shared" si="18"/>
        <v>5.0000000000000114E-2</v>
      </c>
      <c r="E84" s="228">
        <f t="shared" si="18"/>
        <v>5.0000000000000058E-2</v>
      </c>
      <c r="F84" s="228">
        <f t="shared" si="18"/>
        <v>5.0000000000000051E-2</v>
      </c>
      <c r="I84" s="182"/>
      <c r="L84" s="184"/>
      <c r="O84" s="182"/>
    </row>
    <row r="85" spans="1:17" s="183" customFormat="1" x14ac:dyDescent="0.3">
      <c r="A85" s="183" t="s">
        <v>372</v>
      </c>
      <c r="B85" s="228">
        <f>B76/(B76+B69)</f>
        <v>0.79223302519128458</v>
      </c>
      <c r="C85" s="228">
        <f t="shared" si="18"/>
        <v>0.77064743993395901</v>
      </c>
      <c r="D85" s="228">
        <f t="shared" si="18"/>
        <v>0.78548775315274344</v>
      </c>
      <c r="E85" s="228">
        <f t="shared" si="18"/>
        <v>0.77121127292447456</v>
      </c>
      <c r="F85" s="228">
        <f t="shared" si="18"/>
        <v>0.7495163908258925</v>
      </c>
      <c r="I85" s="182"/>
      <c r="L85" s="184"/>
      <c r="O85" s="182"/>
    </row>
    <row r="86" spans="1:17" s="183" customFormat="1" x14ac:dyDescent="0.3">
      <c r="A86" s="183" t="s">
        <v>373</v>
      </c>
      <c r="B86" s="228">
        <f>(B75+B76)/B65</f>
        <v>0.50088672040741777</v>
      </c>
      <c r="C86" s="228">
        <f t="shared" ref="C86:F86" si="19">(C75+C76)/C65</f>
        <v>0.49238022085958183</v>
      </c>
      <c r="D86" s="228">
        <f t="shared" si="19"/>
        <v>0.48298921949843859</v>
      </c>
      <c r="E86" s="228">
        <f t="shared" si="19"/>
        <v>0.40462705094923457</v>
      </c>
      <c r="F86" s="228">
        <f t="shared" si="19"/>
        <v>0.37242010124726516</v>
      </c>
      <c r="I86" s="182"/>
      <c r="L86" s="184"/>
      <c r="O86" s="182"/>
    </row>
    <row r="88" spans="1:17" x14ac:dyDescent="0.3">
      <c r="A88" s="181" t="s">
        <v>374</v>
      </c>
      <c r="B88" s="221">
        <f>B68/B65</f>
        <v>0.14255312767465758</v>
      </c>
      <c r="C88" s="221">
        <f t="shared" ref="C88:F88" si="20">C68/C65</f>
        <v>0.1393140237168973</v>
      </c>
      <c r="D88" s="221">
        <f t="shared" si="20"/>
        <v>0.13769614710980846</v>
      </c>
      <c r="E88" s="221">
        <f t="shared" si="20"/>
        <v>0.12963017794292891</v>
      </c>
      <c r="F88" s="221">
        <f t="shared" si="20"/>
        <v>0.15010663954005313</v>
      </c>
    </row>
    <row r="89" spans="1:17" x14ac:dyDescent="0.3">
      <c r="A89" s="181" t="s">
        <v>375</v>
      </c>
      <c r="B89" s="221">
        <f>B69/B65</f>
        <v>0.12939234050290649</v>
      </c>
      <c r="C89" s="221">
        <f t="shared" ref="C89:F89" si="21">C69/C65</f>
        <v>0.14435521709608434</v>
      </c>
      <c r="D89" s="221">
        <f t="shared" si="21"/>
        <v>0.12992245453077617</v>
      </c>
      <c r="E89" s="221">
        <f t="shared" si="21"/>
        <v>0.11801327053340099</v>
      </c>
      <c r="F89" s="221">
        <f t="shared" si="21"/>
        <v>0.12182018187080551</v>
      </c>
    </row>
    <row r="90" spans="1:17" x14ac:dyDescent="0.3">
      <c r="A90" s="181" t="s">
        <v>376</v>
      </c>
      <c r="B90" s="221">
        <f>(B70+B71)/B65</f>
        <v>0.22716781141501813</v>
      </c>
      <c r="C90" s="221">
        <f t="shared" ref="C90:F90" si="22">(C70+C71)/C65</f>
        <v>0.22395053832743639</v>
      </c>
      <c r="D90" s="221">
        <f t="shared" si="22"/>
        <v>0.24939217886097687</v>
      </c>
      <c r="E90" s="221">
        <f t="shared" si="22"/>
        <v>0.34772950057443569</v>
      </c>
      <c r="F90" s="221">
        <f t="shared" si="22"/>
        <v>0.35565307734187629</v>
      </c>
    </row>
    <row r="92" spans="1:17" s="251" customFormat="1" x14ac:dyDescent="0.3">
      <c r="A92" s="251" t="s">
        <v>377</v>
      </c>
      <c r="B92" s="262">
        <f>B69/(B$69+B$70+B$71)</f>
        <v>0.36289063656415227</v>
      </c>
      <c r="C92" s="262">
        <f t="shared" ref="C92:F92" si="23">C69/(C$69+C$70+C$71)</f>
        <v>0.39194396223889566</v>
      </c>
      <c r="D92" s="262">
        <f t="shared" si="23"/>
        <v>0.34251896207914906</v>
      </c>
      <c r="E92" s="262">
        <f t="shared" si="23"/>
        <v>0.25338722972058014</v>
      </c>
      <c r="F92" s="262">
        <f t="shared" si="23"/>
        <v>0.25513508771502308</v>
      </c>
      <c r="I92" s="253"/>
      <c r="J92" s="254"/>
      <c r="L92" s="255"/>
      <c r="M92" s="254"/>
      <c r="O92" s="253"/>
      <c r="P92" s="254"/>
      <c r="Q92" s="254"/>
    </row>
    <row r="93" spans="1:17" s="251" customFormat="1" x14ac:dyDescent="0.3">
      <c r="A93" s="251" t="s">
        <v>378</v>
      </c>
      <c r="B93" s="262">
        <f t="shared" ref="B93:F94" si="24">B70/(B$69+B$70+B$71)</f>
        <v>0.63168502500284107</v>
      </c>
      <c r="C93" s="262">
        <f t="shared" si="24"/>
        <v>0.25004275863309344</v>
      </c>
      <c r="D93" s="262">
        <f t="shared" si="24"/>
        <v>0.23424296642106998</v>
      </c>
      <c r="E93" s="262">
        <f t="shared" si="24"/>
        <v>0.43948257998459533</v>
      </c>
      <c r="F93" s="262">
        <f t="shared" si="24"/>
        <v>0.45630992154100963</v>
      </c>
      <c r="I93" s="253"/>
      <c r="J93" s="254"/>
      <c r="L93" s="255"/>
      <c r="M93" s="254"/>
      <c r="O93" s="253"/>
      <c r="P93" s="254"/>
      <c r="Q93" s="254"/>
    </row>
    <row r="94" spans="1:17" s="251" customFormat="1" x14ac:dyDescent="0.3">
      <c r="A94" s="251" t="s">
        <v>379</v>
      </c>
      <c r="B94" s="262">
        <f t="shared" si="24"/>
        <v>5.4243384330067432E-3</v>
      </c>
      <c r="C94" s="262">
        <f t="shared" si="24"/>
        <v>0.35801327912801095</v>
      </c>
      <c r="D94" s="262">
        <f t="shared" si="24"/>
        <v>0.42323807149978104</v>
      </c>
      <c r="E94" s="262">
        <f t="shared" si="24"/>
        <v>0.30713019029482452</v>
      </c>
      <c r="F94" s="262">
        <f t="shared" si="24"/>
        <v>0.28855499074396734</v>
      </c>
      <c r="I94" s="253"/>
      <c r="J94" s="254"/>
      <c r="L94" s="255"/>
      <c r="M94" s="254"/>
      <c r="O94" s="253"/>
      <c r="P94" s="254"/>
      <c r="Q94" s="254"/>
    </row>
    <row r="95" spans="1:17" x14ac:dyDescent="0.3">
      <c r="B95" s="221">
        <f>SUM(B92:B94)</f>
        <v>1.0000000000000002</v>
      </c>
      <c r="C95" s="221">
        <f t="shared" ref="C95:F95" si="25">SUM(C92:C94)</f>
        <v>1</v>
      </c>
      <c r="D95" s="221">
        <f t="shared" si="25"/>
        <v>1</v>
      </c>
      <c r="E95" s="221">
        <f t="shared" si="25"/>
        <v>1</v>
      </c>
      <c r="F95" s="221">
        <f t="shared" si="25"/>
        <v>1</v>
      </c>
    </row>
    <row r="97" spans="1:19" s="183" customFormat="1" x14ac:dyDescent="0.3">
      <c r="A97" s="183" t="s">
        <v>380</v>
      </c>
      <c r="B97" s="228">
        <f>B75/B65</f>
        <v>7.5027961934030314E-3</v>
      </c>
      <c r="C97" s="228">
        <f t="shared" ref="C97:F97" si="26">C75/C65</f>
        <v>7.3323170377314582E-3</v>
      </c>
      <c r="D97" s="228">
        <f t="shared" si="26"/>
        <v>7.2471656373583569E-3</v>
      </c>
      <c r="E97" s="228">
        <f t="shared" si="26"/>
        <v>6.8226409443646885E-3</v>
      </c>
      <c r="F97" s="228">
        <f t="shared" si="26"/>
        <v>7.9003494494764882E-3</v>
      </c>
      <c r="I97" s="182"/>
      <c r="L97" s="184"/>
      <c r="O97" s="182"/>
    </row>
    <row r="98" spans="1:19" s="183" customFormat="1" x14ac:dyDescent="0.3">
      <c r="A98" s="183" t="s">
        <v>381</v>
      </c>
      <c r="B98" s="228">
        <f>B76/B65</f>
        <v>0.49338392421401467</v>
      </c>
      <c r="C98" s="228">
        <f t="shared" ref="C98:F98" si="27">C76/C65</f>
        <v>0.48504790382185042</v>
      </c>
      <c r="D98" s="228">
        <f t="shared" si="27"/>
        <v>0.47574205386108021</v>
      </c>
      <c r="E98" s="228">
        <f t="shared" si="27"/>
        <v>0.39780441000486988</v>
      </c>
      <c r="F98" s="228">
        <f t="shared" si="27"/>
        <v>0.36451975179778862</v>
      </c>
      <c r="I98" s="182"/>
      <c r="J98" s="183">
        <f>AVERAGE(B98:F98)*J65</f>
        <v>13534.156266486301</v>
      </c>
      <c r="L98" s="184"/>
      <c r="O98" s="182"/>
    </row>
    <row r="100" spans="1:19" x14ac:dyDescent="0.3">
      <c r="A100" s="181" t="s">
        <v>382</v>
      </c>
      <c r="C100" s="221">
        <f>(C65-B65)/B65</f>
        <v>-0.10900019723814934</v>
      </c>
      <c r="D100" s="221">
        <f t="shared" ref="D100:F100" si="28">(D65-C65)/C65</f>
        <v>0.11697068115212718</v>
      </c>
      <c r="E100" s="221">
        <f t="shared" si="28"/>
        <v>0.13290538490197162</v>
      </c>
      <c r="F100" s="221">
        <f t="shared" si="28"/>
        <v>3.8223817247666859E-2</v>
      </c>
    </row>
    <row r="101" spans="1:19" x14ac:dyDescent="0.3">
      <c r="A101" s="181" t="s">
        <v>383</v>
      </c>
      <c r="C101" s="221">
        <f>(C68-B68)/B68</f>
        <v>-0.12924556845214483</v>
      </c>
      <c r="D101" s="221">
        <f t="shared" ref="D101:F103" si="29">(D68-C68)/C68</f>
        <v>0.10399911743136063</v>
      </c>
      <c r="E101" s="221">
        <f t="shared" si="29"/>
        <v>6.6542018203527786E-2</v>
      </c>
      <c r="F101" s="221">
        <f t="shared" si="29"/>
        <v>0.20222228165192865</v>
      </c>
    </row>
    <row r="102" spans="1:19" x14ac:dyDescent="0.3">
      <c r="A102" s="181" t="s">
        <v>384</v>
      </c>
      <c r="C102" s="221">
        <f>(C69-B69)/B69</f>
        <v>-5.9653495690022177E-3</v>
      </c>
      <c r="D102" s="221">
        <f t="shared" si="29"/>
        <v>5.294962340046388E-3</v>
      </c>
      <c r="E102" s="221">
        <f t="shared" si="29"/>
        <v>2.905898876404504E-2</v>
      </c>
      <c r="F102" s="221">
        <f t="shared" si="29"/>
        <v>7.1715186504524298E-2</v>
      </c>
    </row>
    <row r="103" spans="1:19" x14ac:dyDescent="0.3">
      <c r="A103" s="181" t="s">
        <v>385</v>
      </c>
      <c r="C103" s="221">
        <f>(C70-B70)/B70</f>
        <v>-0.63569342661078077</v>
      </c>
      <c r="D103" s="221">
        <f t="shared" si="29"/>
        <v>7.7668387036312278E-2</v>
      </c>
      <c r="E103" s="221">
        <f t="shared" si="29"/>
        <v>1.6098483499282328</v>
      </c>
      <c r="F103" s="221">
        <f t="shared" si="29"/>
        <v>0.1051269377557444</v>
      </c>
    </row>
    <row r="106" spans="1:19" ht="21" x14ac:dyDescent="0.4">
      <c r="A106" s="263" t="s">
        <v>386</v>
      </c>
    </row>
    <row r="107" spans="1:19" s="232" customFormat="1" x14ac:dyDescent="0.3">
      <c r="A107" s="232" t="str">
        <f t="shared" ref="A107:P108" si="30">A64</f>
        <v>Year</v>
      </c>
      <c r="B107" s="232">
        <f t="shared" si="30"/>
        <v>2019</v>
      </c>
      <c r="C107" s="232">
        <f t="shared" si="30"/>
        <v>2020</v>
      </c>
      <c r="D107" s="232">
        <f t="shared" si="30"/>
        <v>2021</v>
      </c>
      <c r="E107" s="232">
        <f t="shared" si="30"/>
        <v>2022</v>
      </c>
      <c r="F107" s="232">
        <f t="shared" si="30"/>
        <v>2023</v>
      </c>
      <c r="G107" s="232">
        <f t="shared" si="30"/>
        <v>0</v>
      </c>
      <c r="H107" s="232">
        <f t="shared" si="30"/>
        <v>2024</v>
      </c>
      <c r="I107" s="182">
        <f t="shared" si="30"/>
        <v>2028</v>
      </c>
      <c r="J107" s="183">
        <f t="shared" si="30"/>
        <v>2030</v>
      </c>
      <c r="K107" s="232">
        <f t="shared" si="30"/>
        <v>2032</v>
      </c>
      <c r="L107" s="184">
        <f t="shared" si="30"/>
        <v>2036</v>
      </c>
      <c r="M107" s="183">
        <f t="shared" si="30"/>
        <v>2040</v>
      </c>
      <c r="N107" s="232">
        <f t="shared" si="30"/>
        <v>2044</v>
      </c>
      <c r="O107" s="182">
        <f t="shared" si="30"/>
        <v>2048</v>
      </c>
      <c r="P107" s="183">
        <f t="shared" si="30"/>
        <v>2050</v>
      </c>
      <c r="Q107" s="183"/>
      <c r="R107" s="232">
        <f>R64</f>
        <v>0</v>
      </c>
    </row>
    <row r="108" spans="1:19" x14ac:dyDescent="0.3">
      <c r="A108" s="181" t="str">
        <f t="shared" si="30"/>
        <v>Total Industry Consumption in GWh</v>
      </c>
      <c r="B108" s="181">
        <f t="shared" si="30"/>
        <v>19578.700555555555</v>
      </c>
      <c r="C108" s="181">
        <f t="shared" si="30"/>
        <v>17444.618333333336</v>
      </c>
      <c r="D108" s="181">
        <f t="shared" si="30"/>
        <v>19485.127222222221</v>
      </c>
      <c r="E108" s="181">
        <f t="shared" si="30"/>
        <v>22074.805555555551</v>
      </c>
      <c r="F108" s="181">
        <f t="shared" si="30"/>
        <v>22918.588888888888</v>
      </c>
      <c r="G108" s="181">
        <f>M4*11.63</f>
        <v>19959.406000000003</v>
      </c>
      <c r="I108" s="182">
        <f>M5*11.63</f>
        <v>30005.4</v>
      </c>
      <c r="J108" s="183">
        <f>M6*11.63</f>
        <v>44712.698000000004</v>
      </c>
      <c r="K108" s="181">
        <f>M7*11.63</f>
        <v>66246.805999999997</v>
      </c>
      <c r="L108" s="184">
        <f>M8*11.63</f>
        <v>97774.573000000004</v>
      </c>
      <c r="M108" s="183">
        <f>M9*11.63</f>
        <v>143935.20600000001</v>
      </c>
      <c r="N108" s="181">
        <f>M10*11.63</f>
        <v>211518.299</v>
      </c>
      <c r="O108" s="182">
        <f>(N108+P108)/2</f>
        <v>260992.31900000002</v>
      </c>
      <c r="P108" s="183">
        <f>M11*11.63</f>
        <v>310466.33900000004</v>
      </c>
      <c r="R108" s="181">
        <f>R65</f>
        <v>0</v>
      </c>
      <c r="S108" s="181" t="s">
        <v>387</v>
      </c>
    </row>
    <row r="109" spans="1:19" x14ac:dyDescent="0.3">
      <c r="A109" s="181" t="s">
        <v>388</v>
      </c>
      <c r="B109" s="181">
        <f>SUM(B110:B113)</f>
        <v>9771.9894444444453</v>
      </c>
      <c r="C109" s="181">
        <f t="shared" ref="C109:F109" si="31">SUM(C110:C113)</f>
        <v>8855.2333055555555</v>
      </c>
      <c r="D109" s="181">
        <f t="shared" si="31"/>
        <v>10074.020833333334</v>
      </c>
      <c r="E109" s="181">
        <f t="shared" si="31"/>
        <v>13142.742083333333</v>
      </c>
      <c r="F109" s="181">
        <f t="shared" si="31"/>
        <v>14383.245694444444</v>
      </c>
      <c r="O109" s="182">
        <f>O108*0.3</f>
        <v>78297.695699999997</v>
      </c>
      <c r="S109" s="181" t="s">
        <v>389</v>
      </c>
    </row>
    <row r="110" spans="1:19" x14ac:dyDescent="0.3">
      <c r="A110" s="181" t="str">
        <f t="shared" ref="A110:P113" si="32">A68</f>
        <v>Manufacturing Electricity consumption in GWh</v>
      </c>
      <c r="B110" s="181">
        <f t="shared" si="32"/>
        <v>2791.0050000000001</v>
      </c>
      <c r="C110" s="181">
        <f t="shared" si="32"/>
        <v>2430.2799722222217</v>
      </c>
      <c r="D110" s="181">
        <f t="shared" si="32"/>
        <v>2683.0269444444443</v>
      </c>
      <c r="E110" s="181">
        <f t="shared" si="32"/>
        <v>2861.5609722222221</v>
      </c>
      <c r="F110" s="181">
        <f t="shared" si="32"/>
        <v>3440.232361111111</v>
      </c>
      <c r="G110" s="181">
        <f t="shared" si="32"/>
        <v>5.3675278227879542E-2</v>
      </c>
      <c r="H110" s="181">
        <f t="shared" si="32"/>
        <v>0</v>
      </c>
      <c r="I110" s="182">
        <f t="shared" si="32"/>
        <v>0</v>
      </c>
      <c r="J110" s="183">
        <f t="shared" si="32"/>
        <v>26790</v>
      </c>
      <c r="K110" s="181">
        <f t="shared" si="32"/>
        <v>4347.6775685872717</v>
      </c>
      <c r="L110" s="184">
        <f t="shared" si="32"/>
        <v>0</v>
      </c>
      <c r="M110" s="183">
        <f t="shared" si="32"/>
        <v>44555</v>
      </c>
      <c r="N110" s="181">
        <f t="shared" si="32"/>
        <v>7333.7353602111407</v>
      </c>
      <c r="O110" s="182">
        <f t="shared" si="32"/>
        <v>0</v>
      </c>
      <c r="P110" s="183">
        <f t="shared" si="32"/>
        <v>65835</v>
      </c>
      <c r="R110" s="181">
        <f>R68</f>
        <v>0</v>
      </c>
    </row>
    <row r="111" spans="1:19" x14ac:dyDescent="0.3">
      <c r="A111" s="181" t="str">
        <f t="shared" si="32"/>
        <v>Manufacturing Oil Consumption in GWh</v>
      </c>
      <c r="B111" s="181">
        <f t="shared" si="32"/>
        <v>2533.3338888888889</v>
      </c>
      <c r="C111" s="181">
        <f t="shared" si="32"/>
        <v>2518.2216666666668</v>
      </c>
      <c r="D111" s="181">
        <f t="shared" si="32"/>
        <v>2531.5555555555557</v>
      </c>
      <c r="E111" s="181">
        <f t="shared" si="32"/>
        <v>2605.1200000000003</v>
      </c>
      <c r="F111" s="181">
        <f t="shared" si="32"/>
        <v>2791.9466666666667</v>
      </c>
      <c r="G111" s="181">
        <f t="shared" si="32"/>
        <v>2.4598395095139836E-2</v>
      </c>
      <c r="H111" s="181">
        <f t="shared" si="32"/>
        <v>0</v>
      </c>
      <c r="I111" s="182">
        <f t="shared" si="32"/>
        <v>0</v>
      </c>
      <c r="J111" s="183">
        <f t="shared" si="32"/>
        <v>0</v>
      </c>
      <c r="K111" s="181">
        <f t="shared" si="32"/>
        <v>0</v>
      </c>
      <c r="L111" s="184">
        <f t="shared" si="32"/>
        <v>0</v>
      </c>
      <c r="M111" s="183">
        <f t="shared" si="32"/>
        <v>0</v>
      </c>
      <c r="N111" s="181">
        <f t="shared" si="32"/>
        <v>0</v>
      </c>
      <c r="O111" s="182">
        <f t="shared" si="32"/>
        <v>0</v>
      </c>
      <c r="P111" s="183">
        <f t="shared" si="32"/>
        <v>0</v>
      </c>
      <c r="R111" s="181">
        <f>R69</f>
        <v>0</v>
      </c>
    </row>
    <row r="112" spans="1:19" x14ac:dyDescent="0.3">
      <c r="A112" s="181" t="str">
        <f t="shared" si="32"/>
        <v>Manufacturing Imported Coal Consumption in GWh</v>
      </c>
      <c r="B112" s="181">
        <f t="shared" si="32"/>
        <v>4409.7833333333328</v>
      </c>
      <c r="C112" s="181">
        <f t="shared" si="32"/>
        <v>1606.5130555555556</v>
      </c>
      <c r="D112" s="181">
        <f t="shared" si="32"/>
        <v>1731.2883333333332</v>
      </c>
      <c r="E112" s="181">
        <f t="shared" si="32"/>
        <v>4518.3999999999996</v>
      </c>
      <c r="F112" s="181">
        <f t="shared" si="32"/>
        <v>4993.4055555555551</v>
      </c>
      <c r="G112" s="181">
        <f t="shared" si="32"/>
        <v>3.1560958665195482E-2</v>
      </c>
      <c r="H112" s="181">
        <f t="shared" si="32"/>
        <v>0</v>
      </c>
      <c r="I112" s="182">
        <f t="shared" si="32"/>
        <v>0</v>
      </c>
      <c r="J112" s="183">
        <f t="shared" si="32"/>
        <v>0</v>
      </c>
      <c r="K112" s="181">
        <f t="shared" si="32"/>
        <v>0</v>
      </c>
      <c r="L112" s="184">
        <f t="shared" si="32"/>
        <v>0</v>
      </c>
      <c r="M112" s="183">
        <f t="shared" si="32"/>
        <v>0</v>
      </c>
      <c r="N112" s="181">
        <f t="shared" si="32"/>
        <v>0</v>
      </c>
      <c r="O112" s="182">
        <f t="shared" si="32"/>
        <v>0</v>
      </c>
      <c r="P112" s="183">
        <f t="shared" si="32"/>
        <v>0</v>
      </c>
      <c r="R112" s="181">
        <f>R70</f>
        <v>0</v>
      </c>
    </row>
    <row r="113" spans="1:18" x14ac:dyDescent="0.3">
      <c r="A113" s="181" t="str">
        <f t="shared" si="32"/>
        <v>Manufacturing Domestic  Coal Consumption in GWh</v>
      </c>
      <c r="B113" s="181">
        <f t="shared" si="32"/>
        <v>37.867222222222225</v>
      </c>
      <c r="C113" s="181">
        <f t="shared" si="32"/>
        <v>2300.2186111111109</v>
      </c>
      <c r="D113" s="181">
        <f t="shared" si="32"/>
        <v>3128.15</v>
      </c>
      <c r="E113" s="181">
        <f t="shared" si="32"/>
        <v>3157.661111111111</v>
      </c>
      <c r="F113" s="181">
        <f t="shared" si="32"/>
        <v>3157.661111111111</v>
      </c>
      <c r="G113" s="181">
        <f t="shared" si="32"/>
        <v>0.11138739921046215</v>
      </c>
      <c r="H113" s="181">
        <f t="shared" si="32"/>
        <v>0</v>
      </c>
      <c r="I113" s="182">
        <f t="shared" si="32"/>
        <v>0</v>
      </c>
      <c r="J113" s="183">
        <f t="shared" si="32"/>
        <v>0</v>
      </c>
      <c r="K113" s="181">
        <f t="shared" si="32"/>
        <v>0</v>
      </c>
      <c r="L113" s="184">
        <f t="shared" si="32"/>
        <v>0</v>
      </c>
      <c r="M113" s="183">
        <f t="shared" si="32"/>
        <v>0</v>
      </c>
      <c r="N113" s="181">
        <f t="shared" si="32"/>
        <v>0</v>
      </c>
      <c r="O113" s="182">
        <f t="shared" si="32"/>
        <v>0</v>
      </c>
      <c r="P113" s="183">
        <f t="shared" si="32"/>
        <v>0</v>
      </c>
      <c r="R113" s="181">
        <f>R71</f>
        <v>0</v>
      </c>
    </row>
    <row r="114" spans="1:18" x14ac:dyDescent="0.3">
      <c r="A114" s="181">
        <f t="shared" ref="A114:P114" si="33">A74</f>
        <v>0</v>
      </c>
      <c r="B114" s="181">
        <f t="shared" si="33"/>
        <v>0</v>
      </c>
      <c r="C114" s="181">
        <f t="shared" si="33"/>
        <v>0</v>
      </c>
      <c r="D114" s="181">
        <f t="shared" si="33"/>
        <v>0</v>
      </c>
      <c r="E114" s="181">
        <f t="shared" si="33"/>
        <v>0</v>
      </c>
      <c r="F114" s="181">
        <f t="shared" si="33"/>
        <v>0</v>
      </c>
      <c r="G114" s="181">
        <f t="shared" si="33"/>
        <v>0</v>
      </c>
      <c r="H114" s="181">
        <f t="shared" si="33"/>
        <v>0</v>
      </c>
      <c r="I114" s="182">
        <f t="shared" si="33"/>
        <v>0</v>
      </c>
      <c r="J114" s="183">
        <f t="shared" si="33"/>
        <v>0</v>
      </c>
      <c r="K114" s="181">
        <f t="shared" si="33"/>
        <v>0</v>
      </c>
      <c r="L114" s="184">
        <f t="shared" si="33"/>
        <v>0</v>
      </c>
      <c r="M114" s="183">
        <f t="shared" si="33"/>
        <v>0</v>
      </c>
      <c r="N114" s="181">
        <f t="shared" si="33"/>
        <v>0</v>
      </c>
      <c r="O114" s="182">
        <f t="shared" si="33"/>
        <v>0</v>
      </c>
      <c r="P114" s="183">
        <f t="shared" si="33"/>
        <v>0</v>
      </c>
      <c r="R114" s="181">
        <f>R74</f>
        <v>0</v>
      </c>
    </row>
    <row r="137" spans="1:1" x14ac:dyDescent="0.3">
      <c r="A137" s="181">
        <f>A104</f>
        <v>0</v>
      </c>
    </row>
    <row r="138" spans="1:1" x14ac:dyDescent="0.3">
      <c r="A138" s="181">
        <f>A105</f>
        <v>0</v>
      </c>
    </row>
    <row r="139" spans="1:1" x14ac:dyDescent="0.3">
      <c r="A139" s="181" t="str">
        <f>A106</f>
        <v>Structural Economic Growth scenario</v>
      </c>
    </row>
    <row r="140" spans="1:1" x14ac:dyDescent="0.3">
      <c r="A140" s="181" t="str">
        <f>A107</f>
        <v>Year</v>
      </c>
    </row>
  </sheetData>
  <mergeCells count="9">
    <mergeCell ref="A3:E3"/>
    <mergeCell ref="A4:A11"/>
    <mergeCell ref="A12:A19"/>
    <mergeCell ref="A2:E2"/>
    <mergeCell ref="F2:I2"/>
    <mergeCell ref="J2:M2"/>
    <mergeCell ref="N2:R2"/>
    <mergeCell ref="W2:AA2"/>
    <mergeCell ref="AB2:AF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8" sqref="B8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255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256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257</v>
      </c>
      <c r="D7" s="142" t="s">
        <v>257</v>
      </c>
      <c r="E7" s="142" t="s">
        <v>257</v>
      </c>
      <c r="F7" s="142" t="s">
        <v>257</v>
      </c>
      <c r="G7" s="142"/>
      <c r="H7" s="142"/>
      <c r="I7" s="1"/>
    </row>
    <row r="8" spans="2:9" x14ac:dyDescent="0.25">
      <c r="B8" s="143" t="str">
        <f>DemTechs_INDF!P9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8011-590A-4AB3-90B5-223EFB3CD02C}">
  <dimension ref="A1:N20"/>
  <sheetViews>
    <sheetView workbookViewId="0">
      <selection activeCell="G17" sqref="G17"/>
    </sheetView>
  </sheetViews>
  <sheetFormatPr defaultColWidth="19.33203125" defaultRowHeight="14.4" x14ac:dyDescent="0.3"/>
  <cols>
    <col min="1" max="1" width="19.33203125" style="264"/>
    <col min="2" max="6" width="7.5546875" style="181" bestFit="1" customWidth="1"/>
    <col min="7" max="8" width="19.33203125" style="181"/>
    <col min="9" max="9" width="8" style="181" bestFit="1" customWidth="1"/>
    <col min="10" max="10" width="20.21875" style="181" bestFit="1" customWidth="1"/>
    <col min="11" max="11" width="23.21875" style="181" bestFit="1" customWidth="1"/>
    <col min="12" max="12" width="20.21875" style="181" bestFit="1" customWidth="1"/>
    <col min="13" max="14" width="24.21875" style="181" bestFit="1" customWidth="1"/>
    <col min="15" max="16384" width="19.33203125" style="181"/>
  </cols>
  <sheetData>
    <row r="1" spans="1:14" ht="28.8" x14ac:dyDescent="0.3">
      <c r="I1" s="215" t="s">
        <v>97</v>
      </c>
      <c r="J1" s="264" t="s">
        <v>343</v>
      </c>
      <c r="K1" s="264" t="s">
        <v>358</v>
      </c>
      <c r="L1" s="264" t="s">
        <v>360</v>
      </c>
      <c r="M1" s="264" t="s">
        <v>361</v>
      </c>
      <c r="N1" s="264" t="s">
        <v>362</v>
      </c>
    </row>
    <row r="2" spans="1:14" x14ac:dyDescent="0.3">
      <c r="A2" s="264" t="s">
        <v>97</v>
      </c>
      <c r="B2" s="181">
        <v>2019</v>
      </c>
      <c r="C2" s="181">
        <v>2020</v>
      </c>
      <c r="D2" s="181">
        <v>2021</v>
      </c>
      <c r="E2" s="181">
        <v>2022</v>
      </c>
      <c r="F2" s="181">
        <v>2023</v>
      </c>
      <c r="I2" s="181">
        <v>2019</v>
      </c>
      <c r="J2" s="266">
        <v>19575.922777777778</v>
      </c>
      <c r="K2" s="266">
        <v>2791.0050000000001</v>
      </c>
      <c r="L2" s="266">
        <v>2533.3338888888889</v>
      </c>
      <c r="M2" s="266">
        <v>4409.7833333333328</v>
      </c>
      <c r="N2" s="266">
        <v>35.089444444444446</v>
      </c>
    </row>
    <row r="3" spans="1:14" ht="28.8" x14ac:dyDescent="0.3">
      <c r="A3" s="264" t="s">
        <v>343</v>
      </c>
      <c r="B3" s="233">
        <v>19575.922777777778</v>
      </c>
      <c r="C3" s="233">
        <v>17444.618333333336</v>
      </c>
      <c r="D3" s="233">
        <v>19485.127222222221</v>
      </c>
      <c r="E3" s="233">
        <v>22074.805555555551</v>
      </c>
      <c r="F3" s="233">
        <v>22918.588888888888</v>
      </c>
      <c r="I3" s="181">
        <v>2020</v>
      </c>
      <c r="J3" s="266">
        <v>17444.618333333336</v>
      </c>
      <c r="K3" s="266">
        <v>2430.2799722222217</v>
      </c>
      <c r="L3" s="266">
        <v>2518.2216666666668</v>
      </c>
      <c r="M3" s="266">
        <v>1606.5130555555556</v>
      </c>
      <c r="N3" s="266">
        <v>2300.2186111111109</v>
      </c>
    </row>
    <row r="4" spans="1:14" ht="28.8" x14ac:dyDescent="0.3">
      <c r="A4" s="264" t="s">
        <v>358</v>
      </c>
      <c r="B4" s="233">
        <v>2791.0050000000001</v>
      </c>
      <c r="C4" s="233">
        <v>2430.2799722222217</v>
      </c>
      <c r="D4" s="233">
        <v>2683.0269444444443</v>
      </c>
      <c r="E4" s="233">
        <v>2861.5609722222221</v>
      </c>
      <c r="F4" s="233">
        <v>3440.232361111111</v>
      </c>
      <c r="I4" s="181">
        <v>2021</v>
      </c>
      <c r="J4" s="266">
        <v>19485.127222222221</v>
      </c>
      <c r="K4" s="266">
        <v>2683.0269444444443</v>
      </c>
      <c r="L4" s="266">
        <v>2531.5555555555557</v>
      </c>
      <c r="M4" s="266">
        <v>1731.2883333333332</v>
      </c>
      <c r="N4" s="266">
        <v>3128.15</v>
      </c>
    </row>
    <row r="5" spans="1:14" ht="28.8" x14ac:dyDescent="0.3">
      <c r="A5" s="264" t="s">
        <v>360</v>
      </c>
      <c r="B5" s="233">
        <v>2533.3338888888889</v>
      </c>
      <c r="C5" s="233">
        <v>2518.2216666666668</v>
      </c>
      <c r="D5" s="233">
        <v>2531.5555555555557</v>
      </c>
      <c r="E5" s="233">
        <v>2605.1200000000003</v>
      </c>
      <c r="F5" s="233">
        <v>2791.9466666666667</v>
      </c>
      <c r="I5" s="181">
        <v>2022</v>
      </c>
      <c r="J5" s="266">
        <v>22074.805555555551</v>
      </c>
      <c r="K5" s="266">
        <v>2861.5609722222221</v>
      </c>
      <c r="L5" s="266">
        <v>2605.1200000000003</v>
      </c>
      <c r="M5" s="266">
        <v>4518.3999999999996</v>
      </c>
      <c r="N5" s="266">
        <v>3157.661111111111</v>
      </c>
    </row>
    <row r="6" spans="1:14" ht="28.8" x14ac:dyDescent="0.3">
      <c r="A6" s="264" t="s">
        <v>361</v>
      </c>
      <c r="B6" s="233">
        <v>4409.7833333333328</v>
      </c>
      <c r="C6" s="233">
        <v>1606.5130555555556</v>
      </c>
      <c r="D6" s="233">
        <v>1731.2883333333332</v>
      </c>
      <c r="E6" s="233">
        <v>4518.3999999999996</v>
      </c>
      <c r="F6" s="233">
        <v>4993.4055555555551</v>
      </c>
      <c r="I6" s="181">
        <v>2023</v>
      </c>
      <c r="J6" s="266">
        <v>22918.588888888888</v>
      </c>
      <c r="K6" s="266">
        <v>3440.232361111111</v>
      </c>
      <c r="L6" s="266">
        <v>2791.9466666666667</v>
      </c>
      <c r="M6" s="266">
        <v>4993.4055555555551</v>
      </c>
      <c r="N6" s="266">
        <v>3157.661111111111</v>
      </c>
    </row>
    <row r="7" spans="1:14" ht="28.8" x14ac:dyDescent="0.3">
      <c r="A7" s="264" t="s">
        <v>362</v>
      </c>
      <c r="B7" s="233">
        <v>35.089444444444446</v>
      </c>
      <c r="C7" s="233">
        <v>2300.2186111111109</v>
      </c>
      <c r="D7" s="233">
        <v>3128.15</v>
      </c>
      <c r="E7" s="233">
        <v>3157.661111111111</v>
      </c>
      <c r="F7" s="233">
        <v>3157.661111111111</v>
      </c>
      <c r="J7" s="181" t="s">
        <v>390</v>
      </c>
    </row>
    <row r="8" spans="1:14" x14ac:dyDescent="0.3">
      <c r="I8" s="181">
        <v>2019</v>
      </c>
      <c r="J8" s="181">
        <f>J2/J2-1</f>
        <v>0</v>
      </c>
      <c r="K8" s="181">
        <f>K2/K2-1</f>
        <v>0</v>
      </c>
      <c r="L8" s="181">
        <f t="shared" ref="L8:N8" si="0">L2/L2-1</f>
        <v>0</v>
      </c>
      <c r="M8" s="181">
        <f t="shared" si="0"/>
        <v>0</v>
      </c>
      <c r="N8" s="181">
        <f t="shared" si="0"/>
        <v>0</v>
      </c>
    </row>
    <row r="9" spans="1:14" x14ac:dyDescent="0.3">
      <c r="I9" s="181">
        <v>2020</v>
      </c>
      <c r="J9" s="221">
        <f>J3/J2-1</f>
        <v>-0.10887376644455604</v>
      </c>
      <c r="K9" s="221">
        <f t="shared" ref="K9:N9" si="1">K3/K2-1</f>
        <v>-0.12924556845214485</v>
      </c>
      <c r="L9" s="221">
        <f t="shared" si="1"/>
        <v>-5.9653495690021874E-3</v>
      </c>
      <c r="M9" s="221">
        <f t="shared" si="1"/>
        <v>-0.63569342661078077</v>
      </c>
      <c r="N9" s="221">
        <f t="shared" si="1"/>
        <v>64.553007393803128</v>
      </c>
    </row>
    <row r="10" spans="1:14" x14ac:dyDescent="0.3">
      <c r="I10" s="181">
        <v>2021</v>
      </c>
      <c r="J10" s="221">
        <f t="shared" ref="J10:N12" si="2">J4/J3-1</f>
        <v>0.11697068115212716</v>
      </c>
      <c r="K10" s="221">
        <f t="shared" si="2"/>
        <v>0.10399911743136059</v>
      </c>
      <c r="L10" s="221">
        <f t="shared" si="2"/>
        <v>5.2949623400464496E-3</v>
      </c>
      <c r="M10" s="221">
        <f t="shared" si="2"/>
        <v>7.7668387036312181E-2</v>
      </c>
      <c r="N10" s="221">
        <f t="shared" si="2"/>
        <v>0.35993595777792642</v>
      </c>
    </row>
    <row r="11" spans="1:14" x14ac:dyDescent="0.3">
      <c r="I11" s="181">
        <v>2022</v>
      </c>
      <c r="J11" s="221">
        <f t="shared" si="2"/>
        <v>0.13290538490197168</v>
      </c>
      <c r="K11" s="221">
        <f t="shared" si="2"/>
        <v>6.6542018203527675E-2</v>
      </c>
      <c r="L11" s="221">
        <f t="shared" si="2"/>
        <v>2.9058988764045113E-2</v>
      </c>
      <c r="M11" s="221">
        <f t="shared" si="2"/>
        <v>1.6098483499282326</v>
      </c>
      <c r="N11" s="221">
        <f t="shared" si="2"/>
        <v>9.4340460371500345E-3</v>
      </c>
    </row>
    <row r="12" spans="1:14" x14ac:dyDescent="0.3">
      <c r="I12" s="181">
        <v>2023</v>
      </c>
      <c r="J12" s="221">
        <f t="shared" si="2"/>
        <v>3.8223817247666769E-2</v>
      </c>
      <c r="K12" s="221">
        <f t="shared" si="2"/>
        <v>0.20222228165192857</v>
      </c>
      <c r="L12" s="221">
        <f t="shared" si="2"/>
        <v>7.1715186504524242E-2</v>
      </c>
      <c r="M12" s="221">
        <f t="shared" si="2"/>
        <v>0.10512693775574444</v>
      </c>
      <c r="N12" s="221">
        <f t="shared" si="2"/>
        <v>0</v>
      </c>
    </row>
    <row r="13" spans="1:14" x14ac:dyDescent="0.3">
      <c r="I13" s="181" t="s">
        <v>391</v>
      </c>
      <c r="J13" s="265">
        <f>AVERAGE(J9:J12)</f>
        <v>4.4806529214302393E-2</v>
      </c>
    </row>
    <row r="19" spans="9:12" x14ac:dyDescent="0.3">
      <c r="I19" s="181">
        <v>2050</v>
      </c>
      <c r="J19" s="181">
        <f>J6+J6*(1+0.04)^27</f>
        <v>89001.327900509059</v>
      </c>
      <c r="K19" s="233">
        <v>255877.44500000001</v>
      </c>
      <c r="L19" s="233">
        <f>-J19-K19</f>
        <v>-344878.77290050907</v>
      </c>
    </row>
    <row r="20" spans="9:12" x14ac:dyDescent="0.3">
      <c r="J20" s="181">
        <f>J5+0.04*J5*27</f>
        <v>45915.595555555541</v>
      </c>
      <c r="K20" s="181">
        <f>J20-'[2]Energybalance history'!O65</f>
        <v>-128318.08644444446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F2F4-3FF6-43E8-A26E-915582679923}">
  <dimension ref="A1:AA53"/>
  <sheetViews>
    <sheetView tabSelected="1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H40" sqref="H40"/>
    </sheetView>
  </sheetViews>
  <sheetFormatPr defaultRowHeight="13.2" x14ac:dyDescent="0.25"/>
  <cols>
    <col min="1" max="1" width="21.33203125" bestFit="1" customWidth="1"/>
    <col min="2" max="2" width="18.33203125" bestFit="1" customWidth="1"/>
    <col min="3" max="3" width="20.5546875" bestFit="1" customWidth="1"/>
    <col min="4" max="4" width="11" bestFit="1" customWidth="1"/>
    <col min="5" max="5" width="11" customWidth="1"/>
    <col min="6" max="6" width="25.5546875" bestFit="1" customWidth="1"/>
    <col min="7" max="7" width="16" bestFit="1" customWidth="1"/>
    <col min="8" max="8" width="24.109375" bestFit="1" customWidth="1"/>
    <col min="9" max="9" width="13.109375" bestFit="1" customWidth="1"/>
    <col min="10" max="10" width="13.5546875" bestFit="1" customWidth="1"/>
    <col min="11" max="11" width="21.33203125" bestFit="1" customWidth="1"/>
    <col min="12" max="14" width="20.77734375" bestFit="1" customWidth="1"/>
    <col min="15" max="15" width="11.88671875" bestFit="1" customWidth="1"/>
    <col min="16" max="16" width="9.6640625" bestFit="1" customWidth="1"/>
    <col min="24" max="24" width="13.5546875" bestFit="1" customWidth="1"/>
  </cols>
  <sheetData>
    <row r="1" spans="1:27" s="20" customFormat="1" x14ac:dyDescent="0.25">
      <c r="A1" s="20" t="s">
        <v>411</v>
      </c>
      <c r="B1" s="20" t="s">
        <v>21</v>
      </c>
      <c r="C1" s="271" t="s">
        <v>394</v>
      </c>
      <c r="D1" s="271"/>
      <c r="E1" s="271"/>
      <c r="F1" s="271"/>
      <c r="G1" s="271" t="s">
        <v>397</v>
      </c>
      <c r="H1" s="271"/>
      <c r="I1" s="271"/>
      <c r="J1" s="271"/>
      <c r="K1" s="271" t="s">
        <v>398</v>
      </c>
      <c r="L1" s="271"/>
      <c r="M1" s="271" t="s">
        <v>399</v>
      </c>
      <c r="N1" s="271"/>
      <c r="O1" s="271" t="s">
        <v>402</v>
      </c>
      <c r="P1" s="271"/>
      <c r="Q1" s="271"/>
      <c r="R1" s="271" t="s">
        <v>402</v>
      </c>
      <c r="S1" s="271"/>
      <c r="T1" s="271"/>
      <c r="U1" s="271" t="s">
        <v>402</v>
      </c>
      <c r="V1" s="271"/>
      <c r="W1" s="271"/>
      <c r="X1" s="20" t="s">
        <v>440</v>
      </c>
      <c r="Y1" s="271" t="s">
        <v>441</v>
      </c>
      <c r="Z1" s="271"/>
      <c r="AA1" s="271"/>
    </row>
    <row r="2" spans="1:27" s="20" customFormat="1" x14ac:dyDescent="0.25">
      <c r="A2" s="20" t="s">
        <v>410</v>
      </c>
      <c r="C2" s="20" t="s">
        <v>392</v>
      </c>
      <c r="D2" s="20" t="s">
        <v>393</v>
      </c>
      <c r="E2" s="20" t="s">
        <v>403</v>
      </c>
      <c r="F2" s="20" t="s">
        <v>91</v>
      </c>
      <c r="G2" s="20" t="str">
        <f>C2</f>
        <v>Africa</v>
      </c>
      <c r="H2" s="20" t="str">
        <f>D2</f>
        <v>World</v>
      </c>
      <c r="I2" s="20" t="s">
        <v>403</v>
      </c>
      <c r="J2" s="20" t="str">
        <f>F2</f>
        <v>Currency</v>
      </c>
      <c r="K2" s="20" t="s">
        <v>392</v>
      </c>
      <c r="L2" s="20" t="s">
        <v>393</v>
      </c>
      <c r="O2" s="271" t="s">
        <v>392</v>
      </c>
      <c r="P2" s="271"/>
      <c r="Q2" s="271"/>
      <c r="R2" s="271" t="s">
        <v>404</v>
      </c>
      <c r="S2" s="271"/>
      <c r="T2" s="271"/>
      <c r="U2" s="271" t="s">
        <v>403</v>
      </c>
      <c r="V2" s="271"/>
      <c r="W2" s="271"/>
      <c r="X2" s="20" t="s">
        <v>114</v>
      </c>
      <c r="Y2" s="271" t="s">
        <v>450</v>
      </c>
      <c r="Z2" s="271"/>
      <c r="AA2" s="271"/>
    </row>
    <row r="3" spans="1:27" s="20" customFormat="1" x14ac:dyDescent="0.25">
      <c r="A3" s="20" t="s">
        <v>410</v>
      </c>
      <c r="O3" s="273" t="s">
        <v>405</v>
      </c>
      <c r="P3" s="273" t="s">
        <v>407</v>
      </c>
      <c r="Q3" s="273" t="s">
        <v>406</v>
      </c>
      <c r="R3" s="273" t="str">
        <f>O3</f>
        <v>Minimum</v>
      </c>
      <c r="S3" s="273" t="str">
        <f t="shared" ref="S3:T3" si="0">P3</f>
        <v>Maximum</v>
      </c>
      <c r="T3" s="273" t="str">
        <f t="shared" si="0"/>
        <v>Avarage</v>
      </c>
      <c r="U3" s="273" t="str">
        <f t="shared" ref="U3" si="1">R3</f>
        <v>Minimum</v>
      </c>
      <c r="V3" s="273" t="str">
        <f t="shared" ref="V3" si="2">S3</f>
        <v>Maximum</v>
      </c>
      <c r="W3" s="273" t="str">
        <f t="shared" ref="W3" si="3">T3</f>
        <v>Avarage</v>
      </c>
      <c r="Y3" s="20" t="s">
        <v>405</v>
      </c>
      <c r="Z3" s="20" t="s">
        <v>407</v>
      </c>
      <c r="AA3" s="20" t="s">
        <v>442</v>
      </c>
    </row>
    <row r="4" spans="1:27" x14ac:dyDescent="0.25">
      <c r="A4" s="20" t="s">
        <v>410</v>
      </c>
      <c r="B4" t="s">
        <v>292</v>
      </c>
      <c r="C4">
        <v>1093</v>
      </c>
      <c r="D4">
        <v>691</v>
      </c>
      <c r="F4" t="s">
        <v>396</v>
      </c>
      <c r="G4">
        <v>7.3999999999999996E-2</v>
      </c>
      <c r="H4">
        <v>4.2999999999999997E-2</v>
      </c>
      <c r="J4" t="s">
        <v>396</v>
      </c>
      <c r="K4" s="270">
        <v>0.219</v>
      </c>
      <c r="L4" s="270">
        <v>0.33800000000000002</v>
      </c>
      <c r="M4">
        <v>1.7</v>
      </c>
      <c r="N4">
        <v>1.34</v>
      </c>
      <c r="O4" s="117"/>
      <c r="P4" s="117"/>
      <c r="Q4" s="117"/>
      <c r="R4" s="117"/>
      <c r="S4" s="117">
        <v>0.17</v>
      </c>
      <c r="T4" s="117"/>
      <c r="U4" s="117"/>
      <c r="V4" s="117"/>
      <c r="W4" s="117"/>
      <c r="X4">
        <v>30</v>
      </c>
      <c r="AA4">
        <f>1125/(365*24)</f>
        <v>0.12842465753424659</v>
      </c>
    </row>
    <row r="5" spans="1:27" x14ac:dyDescent="0.25">
      <c r="A5" s="20" t="s">
        <v>410</v>
      </c>
      <c r="B5" t="s">
        <v>395</v>
      </c>
      <c r="C5">
        <v>2330</v>
      </c>
      <c r="D5">
        <v>2267</v>
      </c>
      <c r="E5">
        <v>824</v>
      </c>
      <c r="F5" t="s">
        <v>396</v>
      </c>
      <c r="G5">
        <v>6.2E-2</v>
      </c>
      <c r="H5">
        <v>5.7000000000000002E-2</v>
      </c>
      <c r="I5">
        <v>0.06</v>
      </c>
      <c r="J5" t="s">
        <v>396</v>
      </c>
      <c r="K5" s="270"/>
      <c r="L5" s="270"/>
      <c r="O5" s="117"/>
      <c r="P5" s="117"/>
      <c r="Q5" s="117"/>
      <c r="R5" s="117"/>
      <c r="S5" s="117">
        <v>0.48</v>
      </c>
      <c r="T5" s="117"/>
      <c r="U5" s="117"/>
      <c r="V5" s="117"/>
      <c r="W5" s="117">
        <v>0.35</v>
      </c>
    </row>
    <row r="6" spans="1:27" x14ac:dyDescent="0.25">
      <c r="A6" s="20" t="s">
        <v>410</v>
      </c>
      <c r="B6" t="s">
        <v>142</v>
      </c>
      <c r="C6">
        <v>1333</v>
      </c>
      <c r="D6">
        <v>1041</v>
      </c>
      <c r="E6">
        <v>1834</v>
      </c>
      <c r="F6" t="s">
        <v>396</v>
      </c>
      <c r="G6">
        <v>5.0999999999999997E-2</v>
      </c>
      <c r="H6">
        <v>3.4000000000000002E-2</v>
      </c>
      <c r="I6">
        <v>5.0999999999999997E-2</v>
      </c>
      <c r="J6" t="s">
        <v>396</v>
      </c>
      <c r="K6" s="270">
        <v>9.6000000000000002E-2</v>
      </c>
      <c r="L6" s="270">
        <v>0.25</v>
      </c>
      <c r="M6">
        <v>2.04</v>
      </c>
      <c r="N6">
        <v>1.52</v>
      </c>
      <c r="O6" s="117"/>
      <c r="P6" s="117"/>
      <c r="Q6" s="117">
        <v>0.44</v>
      </c>
      <c r="R6" s="117"/>
      <c r="S6" s="117">
        <v>0.34</v>
      </c>
      <c r="T6" s="117"/>
      <c r="U6" s="117"/>
      <c r="V6" s="117"/>
      <c r="W6" s="117">
        <v>0.38</v>
      </c>
      <c r="X6">
        <v>25</v>
      </c>
      <c r="AA6">
        <f>38/(365*24)</f>
        <v>4.3378995433789955E-3</v>
      </c>
    </row>
    <row r="7" spans="1:27" ht="15.6" x14ac:dyDescent="0.3">
      <c r="A7" s="20" t="s">
        <v>410</v>
      </c>
      <c r="B7" s="272" t="s">
        <v>400</v>
      </c>
      <c r="H7" s="272">
        <v>2.1000000000000001E-2</v>
      </c>
      <c r="I7" s="272"/>
      <c r="J7" t="s">
        <v>396</v>
      </c>
      <c r="O7" s="117"/>
      <c r="P7" s="117"/>
      <c r="Q7" s="117"/>
      <c r="R7" s="117"/>
      <c r="S7" s="117"/>
      <c r="T7" s="117"/>
      <c r="U7" s="117"/>
      <c r="V7" s="117"/>
      <c r="W7" s="117"/>
    </row>
    <row r="8" spans="1:27" ht="15.6" x14ac:dyDescent="0.3">
      <c r="A8" s="20" t="s">
        <v>410</v>
      </c>
      <c r="B8" s="272" t="s">
        <v>401</v>
      </c>
      <c r="H8" s="272">
        <v>7.9000000000000001E-2</v>
      </c>
      <c r="I8" s="272"/>
      <c r="J8" t="s">
        <v>396</v>
      </c>
      <c r="O8" s="117">
        <v>0.18</v>
      </c>
      <c r="P8" s="117">
        <v>0.3</v>
      </c>
      <c r="Q8" s="117">
        <f>(O8+P8)/2</f>
        <v>0.24</v>
      </c>
      <c r="R8" s="117"/>
      <c r="S8" s="117"/>
      <c r="T8" s="117"/>
      <c r="U8" s="117"/>
      <c r="V8" s="117"/>
      <c r="W8" s="117"/>
    </row>
    <row r="9" spans="1:27" ht="15.6" x14ac:dyDescent="0.3">
      <c r="A9" s="20" t="s">
        <v>410</v>
      </c>
      <c r="B9" s="161" t="s">
        <v>174</v>
      </c>
      <c r="H9" s="272">
        <v>0.11899999999999999</v>
      </c>
      <c r="I9" s="272"/>
      <c r="J9" t="s">
        <v>396</v>
      </c>
    </row>
    <row r="10" spans="1:27" x14ac:dyDescent="0.25">
      <c r="A10" s="20" t="s">
        <v>410</v>
      </c>
      <c r="B10" s="161" t="s">
        <v>408</v>
      </c>
      <c r="I10">
        <v>0.1</v>
      </c>
    </row>
    <row r="11" spans="1:27" x14ac:dyDescent="0.25">
      <c r="A11" s="20" t="s">
        <v>410</v>
      </c>
      <c r="B11" s="161" t="s">
        <v>409</v>
      </c>
      <c r="I11">
        <v>0.33</v>
      </c>
    </row>
    <row r="12" spans="1:27" ht="15.6" x14ac:dyDescent="0.3">
      <c r="A12" s="20" t="s">
        <v>410</v>
      </c>
      <c r="B12" s="161" t="s">
        <v>278</v>
      </c>
      <c r="D12">
        <v>3677</v>
      </c>
      <c r="H12" s="272">
        <v>9.1999999999999998E-2</v>
      </c>
      <c r="S12">
        <v>41</v>
      </c>
      <c r="X12">
        <v>25</v>
      </c>
      <c r="AA12">
        <v>1.4E-2</v>
      </c>
    </row>
    <row r="13" spans="1:27" ht="15.6" x14ac:dyDescent="0.3">
      <c r="A13" s="20" t="s">
        <v>410</v>
      </c>
      <c r="B13" s="161" t="s">
        <v>439</v>
      </c>
      <c r="D13">
        <v>3242</v>
      </c>
      <c r="H13" s="272">
        <v>8.6999999999999994E-2</v>
      </c>
      <c r="S13">
        <v>73</v>
      </c>
      <c r="X13">
        <v>20</v>
      </c>
      <c r="Y13">
        <f>0.02*D13/(365*24)</f>
        <v>7.4018264840182649E-3</v>
      </c>
      <c r="Z13">
        <f>0.06*D13/(365*24)</f>
        <v>2.2205479452054793E-2</v>
      </c>
      <c r="AA13">
        <f>(Y13+Z13)/2</f>
        <v>1.480365296803653E-2</v>
      </c>
    </row>
    <row r="14" spans="1:27" x14ac:dyDescent="0.25">
      <c r="A14" s="20" t="s">
        <v>410</v>
      </c>
      <c r="B14" s="161" t="s">
        <v>451</v>
      </c>
      <c r="D14">
        <v>192</v>
      </c>
    </row>
    <row r="17" spans="1:16" x14ac:dyDescent="0.25">
      <c r="A17" t="str">
        <f>A1</f>
        <v xml:space="preserve">Source </v>
      </c>
      <c r="B17" t="str">
        <f t="shared" ref="B17:C17" si="4">B1</f>
        <v>Technology Name</v>
      </c>
      <c r="C17" s="268" t="str">
        <f t="shared" si="4"/>
        <v>Installation Cost per kW</v>
      </c>
      <c r="D17" s="268"/>
      <c r="E17" s="268"/>
      <c r="F17" s="268"/>
      <c r="G17" s="269" t="s">
        <v>420</v>
      </c>
      <c r="H17" s="269" t="s">
        <v>419</v>
      </c>
      <c r="I17" s="269" t="s">
        <v>421</v>
      </c>
      <c r="J17" s="269" t="s">
        <v>423</v>
      </c>
      <c r="K17" s="269" t="s">
        <v>424</v>
      </c>
      <c r="L17" s="269" t="s">
        <v>112</v>
      </c>
      <c r="M17" s="269" t="s">
        <v>425</v>
      </c>
      <c r="N17" s="269" t="s">
        <v>426</v>
      </c>
      <c r="O17" s="269" t="s">
        <v>428</v>
      </c>
      <c r="P17" s="269"/>
    </row>
    <row r="18" spans="1:16" x14ac:dyDescent="0.25">
      <c r="C18" s="267"/>
      <c r="D18" s="267"/>
      <c r="E18" s="267" t="s">
        <v>413</v>
      </c>
      <c r="F18" s="267"/>
      <c r="G18" s="269" t="s">
        <v>413</v>
      </c>
      <c r="H18" s="269" t="s">
        <v>413</v>
      </c>
      <c r="I18" s="267" t="s">
        <v>422</v>
      </c>
      <c r="J18" s="267" t="s">
        <v>422</v>
      </c>
      <c r="K18" s="267" t="s">
        <v>422</v>
      </c>
      <c r="L18" s="267"/>
      <c r="M18" s="267" t="s">
        <v>114</v>
      </c>
      <c r="N18" s="267" t="s">
        <v>427</v>
      </c>
      <c r="O18" s="267" t="s">
        <v>427</v>
      </c>
      <c r="P18" s="267"/>
    </row>
    <row r="19" spans="1:16" x14ac:dyDescent="0.25">
      <c r="A19" t="s">
        <v>417</v>
      </c>
      <c r="C19" t="str">
        <f>C2</f>
        <v>Africa</v>
      </c>
      <c r="D19" t="str">
        <f>D2</f>
        <v>World</v>
      </c>
      <c r="E19" t="str">
        <f>E2</f>
        <v>Ethiopia</v>
      </c>
      <c r="F19" t="str">
        <f>F2</f>
        <v>Currency</v>
      </c>
      <c r="G19" t="str">
        <f>I19</f>
        <v>Ethiopia</v>
      </c>
      <c r="H19" t="s">
        <v>403</v>
      </c>
      <c r="I19" t="str">
        <f>I2</f>
        <v>Ethiopia</v>
      </c>
      <c r="J19" t="s">
        <v>403</v>
      </c>
      <c r="K19" t="s">
        <v>403</v>
      </c>
      <c r="L19" t="s">
        <v>403</v>
      </c>
      <c r="M19" t="s">
        <v>391</v>
      </c>
      <c r="P19">
        <f>P2</f>
        <v>0</v>
      </c>
    </row>
    <row r="20" spans="1:16" x14ac:dyDescent="0.25">
      <c r="A20" t="s">
        <v>443</v>
      </c>
      <c r="B20" t="s">
        <v>412</v>
      </c>
      <c r="E20">
        <v>2770</v>
      </c>
      <c r="F20" t="s">
        <v>413</v>
      </c>
      <c r="G20">
        <v>21</v>
      </c>
      <c r="H20">
        <v>0</v>
      </c>
      <c r="I20">
        <v>25</v>
      </c>
      <c r="J20">
        <v>99</v>
      </c>
      <c r="M20">
        <v>25</v>
      </c>
    </row>
    <row r="21" spans="1:16" x14ac:dyDescent="0.25">
      <c r="A21" t="s">
        <v>444</v>
      </c>
      <c r="B21" t="s">
        <v>395</v>
      </c>
      <c r="E21">
        <v>2000</v>
      </c>
      <c r="F21" t="s">
        <v>413</v>
      </c>
      <c r="G21">
        <v>18</v>
      </c>
      <c r="H21">
        <v>1E-4</v>
      </c>
      <c r="I21">
        <v>41</v>
      </c>
      <c r="J21">
        <v>100</v>
      </c>
      <c r="M21">
        <v>80</v>
      </c>
    </row>
    <row r="22" spans="1:16" x14ac:dyDescent="0.25">
      <c r="A22" t="s">
        <v>445</v>
      </c>
      <c r="B22" t="s">
        <v>414</v>
      </c>
      <c r="E22">
        <v>2900</v>
      </c>
      <c r="F22" t="s">
        <v>413</v>
      </c>
      <c r="G22">
        <v>46</v>
      </c>
      <c r="H22">
        <v>0</v>
      </c>
      <c r="I22">
        <v>30</v>
      </c>
      <c r="J22">
        <v>97</v>
      </c>
      <c r="M22">
        <v>20</v>
      </c>
    </row>
    <row r="23" spans="1:16" x14ac:dyDescent="0.25">
      <c r="A23" t="s">
        <v>446</v>
      </c>
      <c r="B23" t="s">
        <v>415</v>
      </c>
      <c r="E23">
        <v>1100</v>
      </c>
      <c r="F23" t="s">
        <v>413</v>
      </c>
      <c r="G23">
        <v>21</v>
      </c>
      <c r="H23">
        <v>4.0000000000000002E-4</v>
      </c>
      <c r="I23">
        <v>25</v>
      </c>
      <c r="J23">
        <v>99</v>
      </c>
      <c r="K23">
        <v>5</v>
      </c>
      <c r="M23">
        <v>25</v>
      </c>
    </row>
    <row r="24" spans="1:16" x14ac:dyDescent="0.25">
      <c r="A24" t="s">
        <v>447</v>
      </c>
      <c r="B24" t="s">
        <v>416</v>
      </c>
      <c r="E24">
        <v>1700</v>
      </c>
      <c r="F24" t="s">
        <v>413</v>
      </c>
      <c r="G24">
        <v>46</v>
      </c>
      <c r="H24">
        <v>8.0000000000000004E-4</v>
      </c>
      <c r="I24">
        <v>30</v>
      </c>
      <c r="J24">
        <v>97</v>
      </c>
      <c r="K24">
        <v>20</v>
      </c>
      <c r="M24">
        <v>25</v>
      </c>
    </row>
    <row r="25" spans="1:16" x14ac:dyDescent="0.25">
      <c r="A25" t="s">
        <v>448</v>
      </c>
      <c r="B25" t="s">
        <v>124</v>
      </c>
      <c r="E25">
        <v>3333</v>
      </c>
      <c r="F25" t="s">
        <v>413</v>
      </c>
      <c r="G25">
        <v>75.599999999999994</v>
      </c>
      <c r="H25">
        <v>6.4999999999999997E-3</v>
      </c>
      <c r="I25">
        <v>50</v>
      </c>
      <c r="J25">
        <v>100</v>
      </c>
      <c r="K25">
        <v>100</v>
      </c>
      <c r="L25">
        <v>38</v>
      </c>
      <c r="M25">
        <v>30</v>
      </c>
      <c r="O25">
        <v>6.4999999999999994E-5</v>
      </c>
    </row>
    <row r="26" spans="1:16" x14ac:dyDescent="0.25">
      <c r="A26" t="s">
        <v>449</v>
      </c>
      <c r="B26" t="s">
        <v>418</v>
      </c>
      <c r="E26">
        <v>5238</v>
      </c>
      <c r="F26" t="s">
        <v>413</v>
      </c>
      <c r="G26">
        <v>67.3</v>
      </c>
      <c r="H26">
        <v>1.5E-3</v>
      </c>
      <c r="I26">
        <v>63</v>
      </c>
      <c r="J26">
        <v>100</v>
      </c>
      <c r="K26">
        <v>100</v>
      </c>
      <c r="M26">
        <v>25</v>
      </c>
    </row>
    <row r="31" spans="1:16" x14ac:dyDescent="0.25">
      <c r="A31" t="s">
        <v>429</v>
      </c>
      <c r="B31" t="s">
        <v>429</v>
      </c>
      <c r="C31" t="s">
        <v>430</v>
      </c>
    </row>
    <row r="32" spans="1:16" x14ac:dyDescent="0.25">
      <c r="C32" t="s">
        <v>431</v>
      </c>
    </row>
    <row r="33" spans="1:6" x14ac:dyDescent="0.25">
      <c r="A33" t="str">
        <f>A19</f>
        <v>Gebremeskel 2023</v>
      </c>
      <c r="B33" t="s">
        <v>124</v>
      </c>
      <c r="C33">
        <f>3.89/0.0002777778</f>
        <v>14003.99887968009</v>
      </c>
    </row>
    <row r="34" spans="1:6" x14ac:dyDescent="0.25">
      <c r="A34" t="s">
        <v>417</v>
      </c>
      <c r="B34" t="s">
        <v>435</v>
      </c>
      <c r="C34">
        <f>7.66/0.0002777778</f>
        <v>27575.997793920178</v>
      </c>
    </row>
    <row r="35" spans="1:6" x14ac:dyDescent="0.25">
      <c r="A35" t="s">
        <v>417</v>
      </c>
      <c r="B35" t="s">
        <v>433</v>
      </c>
      <c r="C35">
        <f>18.8/0.0002777778</f>
        <v>67679.994585600434</v>
      </c>
    </row>
    <row r="36" spans="1:6" x14ac:dyDescent="0.25">
      <c r="A36" t="s">
        <v>436</v>
      </c>
      <c r="B36" t="s">
        <v>434</v>
      </c>
      <c r="C36">
        <f>8.121/0.0002777778</f>
        <v>29235.597661152191</v>
      </c>
    </row>
    <row r="37" spans="1:6" x14ac:dyDescent="0.25">
      <c r="A37" t="s">
        <v>437</v>
      </c>
      <c r="B37" t="s">
        <v>432</v>
      </c>
      <c r="C37">
        <f>1.263/0.0002777778</f>
        <v>4546.7996362560289</v>
      </c>
    </row>
    <row r="38" spans="1:6" x14ac:dyDescent="0.25">
      <c r="A38" t="s">
        <v>438</v>
      </c>
      <c r="B38" t="s">
        <v>334</v>
      </c>
      <c r="C38">
        <f>5.835/0.0002777778</f>
        <v>21005.998319520135</v>
      </c>
    </row>
    <row r="42" spans="1:6" x14ac:dyDescent="0.25">
      <c r="A42" s="161" t="s">
        <v>452</v>
      </c>
      <c r="B42" s="275" t="s">
        <v>454</v>
      </c>
      <c r="C42" s="274" t="s">
        <v>454</v>
      </c>
      <c r="D42" s="274"/>
      <c r="E42" s="274"/>
    </row>
    <row r="43" spans="1:6" x14ac:dyDescent="0.25">
      <c r="A43" s="161"/>
      <c r="B43" s="161" t="s">
        <v>405</v>
      </c>
      <c r="C43" s="161" t="s">
        <v>405</v>
      </c>
      <c r="D43" s="161" t="s">
        <v>407</v>
      </c>
      <c r="E43" s="161" t="s">
        <v>391</v>
      </c>
      <c r="F43" s="161" t="s">
        <v>460</v>
      </c>
    </row>
    <row r="44" spans="1:6" x14ac:dyDescent="0.25">
      <c r="A44" s="161" t="s">
        <v>455</v>
      </c>
      <c r="B44" s="161" t="s">
        <v>453</v>
      </c>
      <c r="E44">
        <v>0.35</v>
      </c>
    </row>
    <row r="45" spans="1:6" s="162" customFormat="1" x14ac:dyDescent="0.25">
      <c r="A45" s="162" t="s">
        <v>457</v>
      </c>
      <c r="B45" s="162" t="s">
        <v>456</v>
      </c>
      <c r="C45" s="162">
        <v>0.8</v>
      </c>
      <c r="D45" s="162">
        <v>0.9</v>
      </c>
      <c r="E45" s="162">
        <v>0.84</v>
      </c>
    </row>
    <row r="46" spans="1:6" s="162" customFormat="1" x14ac:dyDescent="0.25">
      <c r="A46" s="162" t="s">
        <v>457</v>
      </c>
      <c r="B46" s="162" t="s">
        <v>458</v>
      </c>
      <c r="C46" s="162">
        <v>0.95</v>
      </c>
      <c r="D46" s="162">
        <v>1</v>
      </c>
      <c r="E46" s="162">
        <v>0.96</v>
      </c>
    </row>
    <row r="47" spans="1:6" x14ac:dyDescent="0.25">
      <c r="A47" t="s">
        <v>461</v>
      </c>
      <c r="B47" s="161" t="s">
        <v>459</v>
      </c>
      <c r="C47">
        <v>0.8</v>
      </c>
      <c r="D47">
        <v>0.85</v>
      </c>
      <c r="F47">
        <v>0.59299999999999997</v>
      </c>
    </row>
    <row r="48" spans="1:6" x14ac:dyDescent="0.25">
      <c r="A48" t="s">
        <v>462</v>
      </c>
      <c r="B48" s="161" t="s">
        <v>459</v>
      </c>
      <c r="C48">
        <v>0.8</v>
      </c>
      <c r="D48">
        <v>0.81</v>
      </c>
    </row>
    <row r="49" spans="1:6" x14ac:dyDescent="0.25">
      <c r="A49" s="276" t="s">
        <v>466</v>
      </c>
      <c r="B49" s="161" t="s">
        <v>467</v>
      </c>
      <c r="C49">
        <v>0.85</v>
      </c>
      <c r="D49">
        <v>0.87</v>
      </c>
      <c r="F49">
        <v>0.79200000000000004</v>
      </c>
    </row>
    <row r="50" spans="1:6" x14ac:dyDescent="0.25">
      <c r="A50" s="276" t="s">
        <v>466</v>
      </c>
      <c r="B50" s="161" t="s">
        <v>468</v>
      </c>
      <c r="C50">
        <v>0.85</v>
      </c>
      <c r="D50">
        <v>0.87</v>
      </c>
      <c r="F50">
        <v>0.80900000000000005</v>
      </c>
    </row>
    <row r="51" spans="1:6" x14ac:dyDescent="0.25">
      <c r="A51" s="276" t="s">
        <v>469</v>
      </c>
      <c r="B51" s="161" t="s">
        <v>470</v>
      </c>
      <c r="E51">
        <v>0.85</v>
      </c>
      <c r="F51">
        <v>0.76100000000000001</v>
      </c>
    </row>
    <row r="52" spans="1:6" x14ac:dyDescent="0.25">
      <c r="A52" t="s">
        <v>464</v>
      </c>
      <c r="B52" s="161" t="s">
        <v>463</v>
      </c>
      <c r="E52">
        <v>0.51039999999999996</v>
      </c>
    </row>
    <row r="53" spans="1:6" x14ac:dyDescent="0.25">
      <c r="A53" s="276" t="s">
        <v>465</v>
      </c>
      <c r="B53" s="161" t="s">
        <v>280</v>
      </c>
      <c r="E53">
        <v>0.65</v>
      </c>
      <c r="F53">
        <v>0.42</v>
      </c>
    </row>
  </sheetData>
  <mergeCells count="14">
    <mergeCell ref="U1:W1"/>
    <mergeCell ref="Y1:AA1"/>
    <mergeCell ref="Y2:AA2"/>
    <mergeCell ref="C42:E42"/>
    <mergeCell ref="O2:Q2"/>
    <mergeCell ref="R2:T2"/>
    <mergeCell ref="U2:W2"/>
    <mergeCell ref="C17:F17"/>
    <mergeCell ref="C1:F1"/>
    <mergeCell ref="G1:J1"/>
    <mergeCell ref="M1:N1"/>
    <mergeCell ref="K1:L1"/>
    <mergeCell ref="O1:Q1"/>
    <mergeCell ref="R1:T1"/>
  </mergeCells>
  <phoneticPr fontId="4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20" zoomScale="122" zoomScaleNormal="122" workbookViewId="0">
      <selection activeCell="G38" sqref="G38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165</v>
      </c>
      <c r="R2" s="7" t="s">
        <v>94</v>
      </c>
    </row>
    <row r="3" spans="2:18" x14ac:dyDescent="0.25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W46"/>
  <sheetViews>
    <sheetView topLeftCell="A12" zoomScale="96" zoomScaleNormal="96" workbookViewId="0">
      <selection activeCell="H29" sqref="H29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165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160</v>
      </c>
      <c r="E3" s="7" t="s">
        <v>165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261</v>
      </c>
      <c r="D4" s="1" t="s">
        <v>259</v>
      </c>
      <c r="E4" s="81" t="s">
        <v>165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275</v>
      </c>
      <c r="D5" s="162" t="s">
        <v>142</v>
      </c>
      <c r="E5" s="81" t="s">
        <v>165</v>
      </c>
      <c r="F5" s="162"/>
      <c r="G5" s="7">
        <f>EBF!P3</f>
        <v>0</v>
      </c>
      <c r="L5" s="66" t="s">
        <v>74</v>
      </c>
      <c r="M5" s="70"/>
      <c r="N5" s="160" t="s">
        <v>284</v>
      </c>
      <c r="O5" s="66" t="s">
        <v>171</v>
      </c>
      <c r="P5" s="66" t="s">
        <v>165</v>
      </c>
      <c r="Q5" s="66"/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165</v>
      </c>
      <c r="F6" s="162"/>
      <c r="G6" s="7">
        <f>EBF!P4</f>
        <v>0</v>
      </c>
      <c r="L6" s="66" t="s">
        <v>74</v>
      </c>
      <c r="M6" s="70"/>
      <c r="N6" s="160" t="s">
        <v>285</v>
      </c>
      <c r="O6" s="66" t="s">
        <v>172</v>
      </c>
      <c r="P6" s="66" t="s">
        <v>165</v>
      </c>
      <c r="Q6" s="66"/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165</v>
      </c>
      <c r="F7" s="162"/>
      <c r="G7" s="7">
        <f>EBF!P5</f>
        <v>0</v>
      </c>
      <c r="L7" s="66" t="s">
        <v>74</v>
      </c>
      <c r="M7" s="70"/>
      <c r="N7" s="160" t="s">
        <v>286</v>
      </c>
      <c r="O7" s="66" t="s">
        <v>173</v>
      </c>
      <c r="P7" s="66" t="s">
        <v>165</v>
      </c>
      <c r="Q7" s="66"/>
      <c r="R7" s="66"/>
      <c r="S7" s="66"/>
      <c r="T7" s="66"/>
    </row>
    <row r="8" spans="2:20" ht="15.6" x14ac:dyDescent="0.3">
      <c r="C8" s="162" t="s">
        <v>276</v>
      </c>
      <c r="D8" s="162" t="s">
        <v>277</v>
      </c>
      <c r="E8" s="81" t="s">
        <v>165</v>
      </c>
      <c r="F8" s="162"/>
      <c r="G8" s="7">
        <f>EBF!P6</f>
        <v>0</v>
      </c>
      <c r="L8" s="160" t="s">
        <v>46</v>
      </c>
      <c r="M8" s="70"/>
      <c r="N8" s="160" t="s">
        <v>46</v>
      </c>
      <c r="O8" s="160" t="s">
        <v>85</v>
      </c>
      <c r="P8" s="66" t="s">
        <v>165</v>
      </c>
      <c r="Q8" s="66"/>
      <c r="R8" s="66"/>
      <c r="S8" s="66"/>
      <c r="T8" s="66"/>
    </row>
    <row r="9" spans="2:20" ht="15.6" x14ac:dyDescent="0.3">
      <c r="C9" s="162"/>
      <c r="D9" s="162"/>
      <c r="E9" s="81"/>
      <c r="F9" s="162"/>
      <c r="G9" s="7"/>
      <c r="L9" s="160" t="s">
        <v>74</v>
      </c>
      <c r="M9" s="70"/>
      <c r="N9" s="160" t="s">
        <v>272</v>
      </c>
      <c r="O9" s="160" t="s">
        <v>273</v>
      </c>
      <c r="P9" s="160" t="s">
        <v>165</v>
      </c>
      <c r="Q9" s="66"/>
      <c r="R9" s="66"/>
      <c r="S9" s="66"/>
      <c r="T9" s="66"/>
    </row>
    <row r="10" spans="2:20" s="162" customFormat="1" x14ac:dyDescent="0.25">
      <c r="L10" s="163" t="s">
        <v>74</v>
      </c>
      <c r="M10" s="163"/>
      <c r="N10" s="163" t="s">
        <v>287</v>
      </c>
      <c r="O10" s="163" t="s">
        <v>124</v>
      </c>
      <c r="P10" s="163" t="s">
        <v>165</v>
      </c>
      <c r="Q10" s="163"/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288</v>
      </c>
      <c r="O11" s="163" t="s">
        <v>274</v>
      </c>
      <c r="P11" s="163" t="s">
        <v>165</v>
      </c>
      <c r="Q11" s="163"/>
      <c r="R11" s="163"/>
      <c r="S11" s="163"/>
      <c r="T11" s="163"/>
    </row>
    <row r="12" spans="2:20" x14ac:dyDescent="0.25">
      <c r="L12" s="66" t="s">
        <v>82</v>
      </c>
      <c r="M12" s="70"/>
      <c r="N12" s="66" t="s">
        <v>175</v>
      </c>
      <c r="O12" s="66" t="s">
        <v>252</v>
      </c>
      <c r="P12" s="66" t="s">
        <v>165</v>
      </c>
      <c r="Q12" s="66"/>
      <c r="R12" s="66"/>
      <c r="S12" s="66"/>
      <c r="T12" s="66"/>
    </row>
    <row r="13" spans="2:20" x14ac:dyDescent="0.25">
      <c r="L13" s="66" t="s">
        <v>82</v>
      </c>
      <c r="M13" s="70"/>
      <c r="N13" s="66" t="s">
        <v>170</v>
      </c>
      <c r="O13" s="66" t="s">
        <v>251</v>
      </c>
      <c r="P13" s="66" t="s">
        <v>165</v>
      </c>
      <c r="Q13" s="66"/>
      <c r="R13" s="66"/>
      <c r="S13" s="66"/>
      <c r="T13" s="66"/>
    </row>
    <row r="14" spans="2:20" x14ac:dyDescent="0.25">
      <c r="L14" s="160" t="s">
        <v>82</v>
      </c>
      <c r="M14" s="70"/>
      <c r="N14" s="160" t="s">
        <v>296</v>
      </c>
      <c r="O14" s="160" t="s">
        <v>294</v>
      </c>
      <c r="P14" s="160" t="s">
        <v>295</v>
      </c>
      <c r="Q14" s="66"/>
      <c r="R14" s="66"/>
      <c r="S14" s="66"/>
      <c r="T14" s="66"/>
    </row>
    <row r="15" spans="2:20" x14ac:dyDescent="0.25">
      <c r="L15" s="160"/>
      <c r="M15" s="70"/>
      <c r="N15" s="160"/>
      <c r="O15" s="160"/>
      <c r="P15" s="160"/>
      <c r="Q15" s="66"/>
      <c r="R15" s="66"/>
      <c r="S15" s="66"/>
      <c r="T15" s="66"/>
    </row>
    <row r="16" spans="2:20" x14ac:dyDescent="0.25">
      <c r="L16" s="160"/>
      <c r="M16" s="70"/>
      <c r="N16" s="160"/>
      <c r="O16" s="160"/>
      <c r="P16" s="160"/>
      <c r="Q16" s="66"/>
      <c r="R16" s="66"/>
      <c r="S16" s="66"/>
      <c r="T16" s="66"/>
    </row>
    <row r="17" spans="2:20" x14ac:dyDescent="0.25">
      <c r="L17" s="179" t="s">
        <v>74</v>
      </c>
      <c r="M17" s="179"/>
      <c r="N17" s="179" t="s">
        <v>268</v>
      </c>
      <c r="O17" s="179" t="s">
        <v>270</v>
      </c>
      <c r="P17" s="179" t="s">
        <v>165</v>
      </c>
      <c r="Q17" s="66"/>
      <c r="R17" s="66"/>
      <c r="S17" s="66"/>
      <c r="T17" s="66"/>
    </row>
    <row r="18" spans="2:20" x14ac:dyDescent="0.25">
      <c r="L18" s="179" t="s">
        <v>74</v>
      </c>
      <c r="M18" s="179"/>
      <c r="N18" s="179" t="s">
        <v>269</v>
      </c>
      <c r="O18" s="179" t="s">
        <v>271</v>
      </c>
      <c r="P18" s="179" t="s">
        <v>165</v>
      </c>
      <c r="Q18" s="66"/>
      <c r="R18" s="66"/>
      <c r="S18" s="66"/>
      <c r="T18" s="66"/>
    </row>
    <row r="19" spans="2:20" x14ac:dyDescent="0.25">
      <c r="L19" s="160"/>
      <c r="M19" s="70"/>
      <c r="N19" s="160"/>
      <c r="O19" s="160"/>
      <c r="P19" s="160"/>
      <c r="Q19" s="66"/>
      <c r="R19" s="66"/>
      <c r="S19" s="66"/>
      <c r="T19" s="66"/>
    </row>
    <row r="20" spans="2:20" x14ac:dyDescent="0.25">
      <c r="L20" s="1"/>
      <c r="N20" s="1"/>
      <c r="O20" s="1"/>
      <c r="P20" s="1"/>
      <c r="Q20" s="1"/>
      <c r="R20" s="1"/>
      <c r="S20" s="1"/>
      <c r="T20" s="1"/>
    </row>
    <row r="21" spans="2:20" x14ac:dyDescent="0.25">
      <c r="F21" s="3" t="s">
        <v>13</v>
      </c>
      <c r="H21" s="3"/>
      <c r="L21" s="65" t="s">
        <v>15</v>
      </c>
      <c r="M21" s="65"/>
      <c r="N21" s="70"/>
      <c r="O21" s="70"/>
      <c r="P21" s="70"/>
      <c r="Q21" s="70"/>
      <c r="R21" s="70"/>
      <c r="S21" s="70"/>
      <c r="T21" s="70"/>
    </row>
    <row r="22" spans="2:20" x14ac:dyDescent="0.25">
      <c r="B22" s="2" t="s">
        <v>1</v>
      </c>
      <c r="C22" s="10" t="s">
        <v>5</v>
      </c>
      <c r="D22" s="2" t="s">
        <v>6</v>
      </c>
      <c r="E22" s="2" t="s">
        <v>97</v>
      </c>
      <c r="F22" s="2" t="s">
        <v>8</v>
      </c>
      <c r="G22" s="64" t="s">
        <v>34</v>
      </c>
      <c r="H22" s="64" t="s">
        <v>35</v>
      </c>
      <c r="I22" s="64" t="s">
        <v>80</v>
      </c>
      <c r="J22" s="78" t="s">
        <v>166</v>
      </c>
      <c r="L22" s="67" t="s">
        <v>11</v>
      </c>
      <c r="M22" s="68" t="s">
        <v>30</v>
      </c>
      <c r="N22" s="67" t="s">
        <v>1</v>
      </c>
      <c r="O22" s="67" t="s">
        <v>2</v>
      </c>
      <c r="P22" s="67" t="s">
        <v>16</v>
      </c>
      <c r="Q22" s="67" t="s">
        <v>17</v>
      </c>
      <c r="R22" s="67" t="s">
        <v>18</v>
      </c>
      <c r="S22" s="67" t="s">
        <v>19</v>
      </c>
      <c r="T22" s="67" t="s">
        <v>20</v>
      </c>
    </row>
    <row r="23" spans="2:20" ht="21.6" thickBot="1" x14ac:dyDescent="0.3">
      <c r="B23" s="9" t="s">
        <v>39</v>
      </c>
      <c r="C23" s="9" t="s">
        <v>32</v>
      </c>
      <c r="D23" s="9" t="s">
        <v>33</v>
      </c>
      <c r="E23" s="9"/>
      <c r="F23" s="9"/>
      <c r="G23" s="9" t="s">
        <v>36</v>
      </c>
      <c r="H23" s="9" t="s">
        <v>89</v>
      </c>
      <c r="I23" s="9" t="s">
        <v>88</v>
      </c>
      <c r="J23" s="79" t="s">
        <v>167</v>
      </c>
      <c r="L23" s="69" t="s">
        <v>38</v>
      </c>
      <c r="M23" s="69" t="s">
        <v>31</v>
      </c>
      <c r="N23" s="69" t="s">
        <v>21</v>
      </c>
      <c r="O23" s="69" t="s">
        <v>22</v>
      </c>
      <c r="P23" s="69" t="s">
        <v>23</v>
      </c>
      <c r="Q23" s="69" t="s">
        <v>24</v>
      </c>
      <c r="R23" s="69" t="s">
        <v>43</v>
      </c>
      <c r="S23" s="69" t="s">
        <v>42</v>
      </c>
      <c r="T23" s="69" t="s">
        <v>25</v>
      </c>
    </row>
    <row r="24" spans="2:20" ht="21.6" thickBot="1" x14ac:dyDescent="0.3">
      <c r="B24" s="9" t="s">
        <v>87</v>
      </c>
      <c r="C24" s="8"/>
      <c r="D24" s="8"/>
      <c r="E24" s="8"/>
      <c r="F24" s="8"/>
      <c r="G24" s="8" t="str">
        <f>$E$2</f>
        <v>GWh</v>
      </c>
      <c r="H24" s="8" t="s">
        <v>240</v>
      </c>
      <c r="I24" s="8" t="str">
        <f>$E$2</f>
        <v>GWh</v>
      </c>
      <c r="J24" s="80"/>
      <c r="L24" s="69" t="s">
        <v>81</v>
      </c>
      <c r="M24" s="71"/>
      <c r="N24" s="71"/>
      <c r="O24" s="71"/>
      <c r="P24" s="71"/>
      <c r="Q24" s="71"/>
      <c r="R24" s="71"/>
      <c r="S24" s="71"/>
      <c r="T24" s="71"/>
    </row>
    <row r="25" spans="2:20" x14ac:dyDescent="0.25">
      <c r="B25" s="66" t="str">
        <f>N25</f>
        <v>MINCOA</v>
      </c>
      <c r="C25" s="1"/>
      <c r="D25" s="66" t="str">
        <f>N5</f>
        <v>MANCOALMIN</v>
      </c>
      <c r="E25" s="1">
        <v>2022</v>
      </c>
      <c r="F25" s="1" t="s">
        <v>103</v>
      </c>
      <c r="G25" s="48">
        <v>2673000</v>
      </c>
      <c r="H25" s="49">
        <v>4.5449999999999999</v>
      </c>
      <c r="I25" s="91">
        <f>EBF!D5</f>
        <v>4518.4003614720004</v>
      </c>
      <c r="J25" s="121">
        <v>8.76</v>
      </c>
      <c r="L25" s="66" t="str">
        <f>EBF!$B$5</f>
        <v>MIN</v>
      </c>
      <c r="M25" s="70"/>
      <c r="N25" s="70" t="str">
        <f>$L$25&amp;$C$2</f>
        <v>MINCOA</v>
      </c>
      <c r="O25" s="72" t="str">
        <f>"Domestic Supply of "&amp;$D$2&amp;" "</f>
        <v xml:space="preserve">Domestic Supply of Coal </v>
      </c>
      <c r="P25" s="70" t="s">
        <v>165</v>
      </c>
      <c r="Q25" s="70"/>
      <c r="R25" s="70"/>
      <c r="S25" s="70"/>
      <c r="T25" s="70"/>
    </row>
    <row r="26" spans="2:20" x14ac:dyDescent="0.25">
      <c r="B26" s="66" t="str">
        <f t="shared" ref="B26:B27" si="0">N26</f>
        <v>IMPCOA</v>
      </c>
      <c r="C26" s="1"/>
      <c r="D26" s="66" t="str">
        <f>N6</f>
        <v>MANCOALIMP</v>
      </c>
      <c r="E26" s="1">
        <v>2022</v>
      </c>
      <c r="F26" s="1" t="s">
        <v>103</v>
      </c>
      <c r="G26" s="62"/>
      <c r="H26" s="63">
        <v>21.004999999999999</v>
      </c>
      <c r="I26" s="92">
        <f>EBF!D6</f>
        <v>3157.6616415018002</v>
      </c>
      <c r="J26" s="121">
        <v>8.76</v>
      </c>
      <c r="L26" s="70" t="str">
        <f>EBF!$B$6</f>
        <v>IMP</v>
      </c>
      <c r="M26" s="70"/>
      <c r="N26" s="70" t="str">
        <f>$L$26&amp;$C$2</f>
        <v>IMPCOA</v>
      </c>
      <c r="O26" s="72" t="str">
        <f>"Import of "&amp;$D$2&amp;" "</f>
        <v xml:space="preserve">Import of Coal </v>
      </c>
      <c r="P26" s="70" t="s">
        <v>165</v>
      </c>
      <c r="Q26" s="70"/>
      <c r="R26" s="70"/>
      <c r="S26" s="70"/>
      <c r="T26" s="70"/>
    </row>
    <row r="27" spans="2:20" x14ac:dyDescent="0.25">
      <c r="B27" s="66" t="str">
        <f t="shared" si="0"/>
        <v>IMPOIL</v>
      </c>
      <c r="C27" s="1"/>
      <c r="D27" s="66" t="str">
        <f>N7</f>
        <v>MANOILIMP</v>
      </c>
      <c r="E27" s="1">
        <v>2022</v>
      </c>
      <c r="F27" s="1" t="s">
        <v>103</v>
      </c>
      <c r="H27" s="49">
        <v>29.234999999999999</v>
      </c>
      <c r="I27" s="92">
        <f>EBF!E18</f>
        <v>2605.1202084096003</v>
      </c>
      <c r="J27" s="121">
        <v>8.76</v>
      </c>
      <c r="L27" t="str">
        <f>EBF!B6</f>
        <v>IMP</v>
      </c>
      <c r="N27" s="70" t="str">
        <f>$L$27&amp;$C$3</f>
        <v>IMPOIL</v>
      </c>
      <c r="O27" s="72" t="str">
        <f>"Import of "&amp;$D$3&amp;" "</f>
        <v xml:space="preserve">Import of Oil </v>
      </c>
      <c r="P27" t="s">
        <v>165</v>
      </c>
    </row>
    <row r="28" spans="2:20" x14ac:dyDescent="0.25">
      <c r="B28" s="66" t="str">
        <f>N33</f>
        <v>GRIDELC</v>
      </c>
      <c r="C28" s="70"/>
      <c r="D28" s="160" t="str">
        <f>N$8</f>
        <v>ELC</v>
      </c>
      <c r="E28" s="1">
        <v>2022</v>
      </c>
      <c r="F28" s="1" t="s">
        <v>103</v>
      </c>
      <c r="H28" s="49">
        <v>100</v>
      </c>
      <c r="I28" s="92">
        <f>EBF!J18</f>
        <v>2861.5612011470998</v>
      </c>
      <c r="J28" s="121">
        <v>8.76</v>
      </c>
      <c r="L28" s="162" t="s">
        <v>50</v>
      </c>
      <c r="M28" s="162"/>
      <c r="N28" s="163" t="str">
        <f>$L$28&amp;$C$7</f>
        <v>MINBIO</v>
      </c>
      <c r="O28" s="164" t="str">
        <f>"Domestic Supply of "&amp;$D$7&amp;" "</f>
        <v xml:space="preserve">Domestic Supply of Biomass </v>
      </c>
      <c r="P28" s="162" t="s">
        <v>165</v>
      </c>
    </row>
    <row r="29" spans="2:20" x14ac:dyDescent="0.25">
      <c r="B29" s="175" t="str">
        <f>N30</f>
        <v>WNDTRBN</v>
      </c>
      <c r="C29" s="175"/>
      <c r="D29" s="160" t="str">
        <f t="shared" ref="D29:D30" si="1">N$8</f>
        <v>ELC</v>
      </c>
      <c r="E29" s="174">
        <v>2030</v>
      </c>
      <c r="F29" s="162"/>
      <c r="G29" s="162"/>
      <c r="H29" s="172"/>
      <c r="I29" s="92"/>
      <c r="J29" s="173"/>
      <c r="L29" s="162" t="s">
        <v>50</v>
      </c>
      <c r="M29" s="162"/>
      <c r="N29" s="163" t="str">
        <f>$L$29&amp;$C$8</f>
        <v>MINGAS</v>
      </c>
      <c r="O29" s="164" t="str">
        <f>"Domestic Supply of "&amp;$D$8&amp;" "</f>
        <v xml:space="preserve">Domestic Supply of Ngas </v>
      </c>
      <c r="P29" s="162" t="s">
        <v>165</v>
      </c>
    </row>
    <row r="30" spans="2:20" x14ac:dyDescent="0.25">
      <c r="B30" s="175" t="str">
        <f>N31</f>
        <v>SOLPV</v>
      </c>
      <c r="C30" s="175"/>
      <c r="D30" s="160" t="str">
        <f t="shared" si="1"/>
        <v>ELC</v>
      </c>
      <c r="E30" s="174">
        <v>2030</v>
      </c>
      <c r="F30" s="162"/>
      <c r="G30" s="162"/>
      <c r="H30" s="172"/>
      <c r="I30" s="92"/>
      <c r="J30" s="173"/>
      <c r="L30" s="174" t="s">
        <v>46</v>
      </c>
      <c r="M30" s="174"/>
      <c r="N30" s="175" t="s">
        <v>289</v>
      </c>
      <c r="O30" s="177" t="s">
        <v>290</v>
      </c>
      <c r="P30" s="174" t="s">
        <v>165</v>
      </c>
    </row>
    <row r="31" spans="2:20" x14ac:dyDescent="0.25">
      <c r="B31" s="175" t="str">
        <f>N32</f>
        <v>CSP</v>
      </c>
      <c r="C31" s="175"/>
      <c r="D31" s="175" t="str">
        <f>N12</f>
        <v>MANHEAT</v>
      </c>
      <c r="E31" s="174">
        <v>2030</v>
      </c>
      <c r="F31" s="162"/>
      <c r="G31" s="162"/>
      <c r="H31" s="172"/>
      <c r="I31" s="92"/>
      <c r="J31" s="173"/>
      <c r="L31" s="174" t="s">
        <v>46</v>
      </c>
      <c r="M31" s="174"/>
      <c r="N31" s="175" t="s">
        <v>291</v>
      </c>
      <c r="O31" s="177" t="s">
        <v>292</v>
      </c>
      <c r="P31" s="174" t="s">
        <v>165</v>
      </c>
    </row>
    <row r="32" spans="2:20" x14ac:dyDescent="0.25">
      <c r="B32" s="175" t="str">
        <f>N28</f>
        <v>MINBIO</v>
      </c>
      <c r="C32" s="175"/>
      <c r="D32" s="175" t="str">
        <f>N10</f>
        <v>MANBIOMIN</v>
      </c>
      <c r="E32" s="174">
        <v>2030</v>
      </c>
      <c r="F32" s="162"/>
      <c r="G32" s="162"/>
      <c r="H32" s="172"/>
      <c r="I32" s="92"/>
      <c r="J32" s="173"/>
      <c r="L32" s="161" t="s">
        <v>50</v>
      </c>
      <c r="N32" s="175" t="s">
        <v>278</v>
      </c>
      <c r="O32" s="177" t="s">
        <v>293</v>
      </c>
      <c r="P32" s="174" t="s">
        <v>165</v>
      </c>
    </row>
    <row r="33" spans="1:23" x14ac:dyDescent="0.25">
      <c r="B33" s="175" t="str">
        <f>N29</f>
        <v>MINGAS</v>
      </c>
      <c r="C33" s="175"/>
      <c r="D33" s="175" t="str">
        <f>N11</f>
        <v>MANGASMIN</v>
      </c>
      <c r="E33" s="174">
        <v>2030</v>
      </c>
      <c r="F33" s="162"/>
      <c r="G33" s="162"/>
      <c r="H33" s="172"/>
      <c r="I33" s="92"/>
      <c r="J33" s="173"/>
      <c r="L33" s="161" t="s">
        <v>46</v>
      </c>
      <c r="N33" s="160" t="s">
        <v>258</v>
      </c>
      <c r="O33" s="176" t="s">
        <v>262</v>
      </c>
      <c r="P33" s="174" t="s">
        <v>165</v>
      </c>
    </row>
    <row r="34" spans="1:23" x14ac:dyDescent="0.25">
      <c r="B34" s="163"/>
      <c r="C34" s="163"/>
      <c r="D34" s="163"/>
      <c r="E34" s="162"/>
      <c r="F34" s="162"/>
      <c r="G34" s="162"/>
      <c r="H34" s="172"/>
      <c r="I34" s="92"/>
      <c r="J34" s="173"/>
      <c r="N34" s="70"/>
      <c r="O34" s="72"/>
    </row>
    <row r="35" spans="1:23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1:23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1:23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1:23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1:23" x14ac:dyDescent="0.25">
      <c r="B39" s="66"/>
      <c r="D39" s="66"/>
      <c r="E39" s="1"/>
      <c r="F39" s="1"/>
      <c r="H39" s="49"/>
      <c r="I39" s="92"/>
      <c r="J39" s="121"/>
      <c r="N39" s="70"/>
      <c r="O39" s="72"/>
    </row>
    <row r="41" spans="1:23" x14ac:dyDescent="0.25">
      <c r="B41" s="48"/>
      <c r="C41" s="1" t="s">
        <v>99</v>
      </c>
      <c r="S41" s="179"/>
      <c r="T41" s="179"/>
      <c r="U41" s="179"/>
      <c r="V41" s="179"/>
      <c r="W41" s="179"/>
    </row>
    <row r="42" spans="1:23" x14ac:dyDescent="0.25">
      <c r="B42" s="47"/>
      <c r="C42" s="1" t="s">
        <v>100</v>
      </c>
      <c r="S42" s="179"/>
      <c r="T42" s="179"/>
      <c r="U42" s="179"/>
      <c r="V42" s="179"/>
      <c r="W42" s="179"/>
    </row>
    <row r="44" spans="1:23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25">
      <c r="U45" s="1"/>
    </row>
    <row r="46" spans="1:23" x14ac:dyDescent="0.25">
      <c r="A46" s="1"/>
    </row>
  </sheetData>
  <hyperlinks>
    <hyperlink ref="N14" r:id="rId1" display="MANCO@" xr:uid="{8E657C0C-D64D-4E9E-8900-30086685D7FC}"/>
  </hyperlinks>
  <pageMargins left="0.75" right="0.75" top="1" bottom="1" header="0.5" footer="0.5"/>
  <pageSetup orientation="portrait" horizontalDpi="4294967292" r:id="rId2"/>
  <headerFooter alignWithMargins="0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8"/>
  <sheetViews>
    <sheetView zoomScale="118" zoomScaleNormal="118" workbookViewId="0">
      <selection activeCell="P9" sqref="P9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178"/>
      <c r="O5" s="178"/>
      <c r="P5" s="178"/>
      <c r="Q5" s="178"/>
      <c r="R5" s="178"/>
      <c r="S5" s="178"/>
      <c r="T5" s="178"/>
      <c r="U5" s="178"/>
      <c r="V5" s="178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175</v>
      </c>
      <c r="Q6" s="95" t="s">
        <v>176</v>
      </c>
      <c r="R6" s="95" t="s">
        <v>165</v>
      </c>
      <c r="S6" s="95" t="s">
        <v>177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95" t="s">
        <v>82</v>
      </c>
      <c r="O7" s="95"/>
      <c r="P7" s="95" t="s">
        <v>170</v>
      </c>
      <c r="Q7" s="95" t="s">
        <v>263</v>
      </c>
      <c r="R7" s="95" t="s">
        <v>165</v>
      </c>
      <c r="S7" s="95" t="s">
        <v>177</v>
      </c>
      <c r="T7" s="95"/>
      <c r="U7" s="95"/>
      <c r="V7" s="95"/>
    </row>
    <row r="8" spans="2:22" ht="15.6" x14ac:dyDescent="0.3">
      <c r="B8" s="53"/>
      <c r="C8" s="53"/>
      <c r="D8" s="53"/>
      <c r="E8" s="53"/>
      <c r="F8" s="53"/>
      <c r="G8" s="53"/>
      <c r="N8" s="171" t="s">
        <v>82</v>
      </c>
      <c r="O8" s="95"/>
      <c r="P8" s="171" t="s">
        <v>282</v>
      </c>
      <c r="Q8" s="171" t="s">
        <v>283</v>
      </c>
      <c r="R8" s="95" t="s">
        <v>165</v>
      </c>
      <c r="S8" s="95" t="s">
        <v>177</v>
      </c>
      <c r="T8" s="95"/>
      <c r="U8" s="95"/>
      <c r="V8" s="95"/>
    </row>
    <row r="9" spans="2:22" x14ac:dyDescent="0.25">
      <c r="N9" s="95" t="s">
        <v>153</v>
      </c>
      <c r="O9" s="95"/>
      <c r="P9" s="95" t="str">
        <f>$B$2&amp;EBF!C65</f>
        <v>MANCO2</v>
      </c>
      <c r="Q9" s="95" t="str">
        <f>$C$2&amp;" "&amp;EBF!C65</f>
        <v>Manufacturing CO2</v>
      </c>
      <c r="R9" s="95" t="str">
        <f>EBF!R2</f>
        <v>kt</v>
      </c>
      <c r="S9" s="95"/>
      <c r="T9" s="95"/>
      <c r="U9" s="95"/>
      <c r="V9" s="95"/>
    </row>
    <row r="10" spans="2:22" x14ac:dyDescent="0.25">
      <c r="N10" s="95"/>
      <c r="O10" s="95"/>
      <c r="P10" s="95"/>
      <c r="Q10" s="95"/>
      <c r="R10" s="95"/>
      <c r="S10" s="95"/>
      <c r="T10" s="95"/>
      <c r="U10" s="95"/>
      <c r="V10" s="95"/>
    </row>
    <row r="11" spans="2:22" x14ac:dyDescent="0.25">
      <c r="N11" s="95" t="s">
        <v>82</v>
      </c>
      <c r="O11" s="95"/>
      <c r="P11" s="95" t="s">
        <v>245</v>
      </c>
      <c r="Q11" s="95" t="s">
        <v>247</v>
      </c>
      <c r="R11" s="95" t="s">
        <v>165</v>
      </c>
      <c r="S11" s="95" t="s">
        <v>177</v>
      </c>
      <c r="T11" s="95"/>
      <c r="U11" s="95"/>
      <c r="V11" s="95"/>
    </row>
    <row r="12" spans="2:22" x14ac:dyDescent="0.25">
      <c r="N12" s="95" t="s">
        <v>82</v>
      </c>
      <c r="O12" s="95"/>
      <c r="P12" s="95" t="s">
        <v>244</v>
      </c>
      <c r="Q12" s="95" t="s">
        <v>246</v>
      </c>
      <c r="R12" s="95" t="s">
        <v>165</v>
      </c>
      <c r="S12" s="95" t="s">
        <v>177</v>
      </c>
      <c r="T12" s="95"/>
      <c r="U12" s="95"/>
      <c r="V12" s="95"/>
    </row>
    <row r="14" spans="2:22" x14ac:dyDescent="0.25">
      <c r="D14" s="3" t="s">
        <v>13</v>
      </c>
      <c r="E14" s="3"/>
      <c r="F14" s="3"/>
      <c r="H14" s="3"/>
      <c r="I14" s="99"/>
      <c r="J14" s="99"/>
      <c r="K14" s="99"/>
      <c r="L14" s="99"/>
      <c r="M14" s="99"/>
      <c r="N14" s="94" t="s">
        <v>15</v>
      </c>
      <c r="O14" s="94"/>
      <c r="P14" s="95"/>
      <c r="Q14" s="95"/>
      <c r="R14" s="95"/>
      <c r="S14" s="95"/>
      <c r="T14" s="95"/>
      <c r="U14" s="95"/>
      <c r="V14" s="95"/>
    </row>
    <row r="15" spans="2:22" ht="24" customHeight="1" x14ac:dyDescent="0.25">
      <c r="B15" s="54" t="s">
        <v>1</v>
      </c>
      <c r="C15" s="54" t="s">
        <v>5</v>
      </c>
      <c r="D15" s="54" t="s">
        <v>6</v>
      </c>
      <c r="E15" s="100" t="s">
        <v>107</v>
      </c>
      <c r="F15" s="101" t="s">
        <v>154</v>
      </c>
      <c r="G15" s="100" t="s">
        <v>108</v>
      </c>
      <c r="H15" s="100" t="s">
        <v>109</v>
      </c>
      <c r="I15" s="100" t="s">
        <v>110</v>
      </c>
      <c r="J15" s="100" t="s">
        <v>178</v>
      </c>
      <c r="K15" s="102" t="s">
        <v>179</v>
      </c>
      <c r="L15" s="102"/>
      <c r="M15" s="102"/>
      <c r="N15" s="96" t="s">
        <v>11</v>
      </c>
      <c r="O15" s="97" t="s">
        <v>30</v>
      </c>
      <c r="P15" s="96" t="s">
        <v>1</v>
      </c>
      <c r="Q15" s="96" t="s">
        <v>2</v>
      </c>
      <c r="R15" s="96" t="s">
        <v>16</v>
      </c>
      <c r="S15" s="96" t="s">
        <v>17</v>
      </c>
      <c r="T15" s="96" t="s">
        <v>18</v>
      </c>
      <c r="U15" s="96" t="s">
        <v>19</v>
      </c>
      <c r="V15" s="96" t="s">
        <v>20</v>
      </c>
    </row>
    <row r="16" spans="2:22" ht="21.6" thickBot="1" x14ac:dyDescent="0.3">
      <c r="B16" s="103" t="s">
        <v>39</v>
      </c>
      <c r="C16" s="103" t="s">
        <v>32</v>
      </c>
      <c r="D16" s="103" t="s">
        <v>33</v>
      </c>
      <c r="E16" s="103" t="s">
        <v>111</v>
      </c>
      <c r="F16" s="103" t="s">
        <v>155</v>
      </c>
      <c r="G16" s="103" t="s">
        <v>112</v>
      </c>
      <c r="H16" s="104" t="s">
        <v>113</v>
      </c>
      <c r="I16" s="103" t="s">
        <v>121</v>
      </c>
      <c r="J16" s="103" t="s">
        <v>180</v>
      </c>
      <c r="K16" s="104" t="s">
        <v>181</v>
      </c>
      <c r="L16" s="105"/>
      <c r="M16" s="105"/>
      <c r="N16" s="98" t="s">
        <v>38</v>
      </c>
      <c r="O16" s="98" t="s">
        <v>31</v>
      </c>
      <c r="P16" s="98" t="s">
        <v>21</v>
      </c>
      <c r="Q16" s="98" t="s">
        <v>22</v>
      </c>
      <c r="R16" s="98" t="s">
        <v>23</v>
      </c>
      <c r="S16" s="98" t="s">
        <v>24</v>
      </c>
      <c r="T16" s="98" t="s">
        <v>43</v>
      </c>
      <c r="U16" s="98" t="s">
        <v>42</v>
      </c>
      <c r="V16" s="98" t="s">
        <v>25</v>
      </c>
    </row>
    <row r="17" spans="2:22" ht="13.8" thickBot="1" x14ac:dyDescent="0.3">
      <c r="B17" s="106" t="s">
        <v>87</v>
      </c>
      <c r="C17" s="106"/>
      <c r="D17" s="106"/>
      <c r="E17" s="107" t="s">
        <v>253</v>
      </c>
      <c r="F17" s="107"/>
      <c r="G17" s="107"/>
      <c r="H17" s="108"/>
      <c r="I17" s="107" t="s">
        <v>114</v>
      </c>
      <c r="J17" s="107"/>
      <c r="K17" s="108"/>
      <c r="L17" s="109"/>
      <c r="M17" s="109"/>
      <c r="N17" s="98" t="s">
        <v>81</v>
      </c>
      <c r="O17" s="98"/>
      <c r="P17" s="98"/>
      <c r="Q17" s="98"/>
      <c r="R17" s="98"/>
      <c r="S17" s="98"/>
      <c r="T17" s="98"/>
      <c r="U17" s="98"/>
      <c r="V17" s="98"/>
    </row>
    <row r="18" spans="2:22" x14ac:dyDescent="0.25">
      <c r="B18" s="93" t="str">
        <f>P$18</f>
        <v>Kiln</v>
      </c>
      <c r="C18" s="93" t="str">
        <f>PRI_Sector_Fuels!N5</f>
        <v>MANCOALMIN</v>
      </c>
      <c r="D18" s="95" t="str">
        <f>PRI_Sector_Fuels!N$12</f>
        <v>MANHEAT</v>
      </c>
      <c r="E18" s="113">
        <f>EBF!D5/(DemTechs_INDF!G18*DemTechs_INDF!F37)*1000</f>
        <v>937.81659640348698</v>
      </c>
      <c r="F18" s="110">
        <v>0.44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156</v>
      </c>
      <c r="Q18" s="93" t="s">
        <v>254</v>
      </c>
      <c r="R18" s="95" t="str">
        <f>$E$2</f>
        <v>GWh</v>
      </c>
      <c r="S18" s="95" t="s">
        <v>157</v>
      </c>
      <c r="T18" s="95"/>
      <c r="U18" s="95"/>
      <c r="V18" s="95"/>
    </row>
    <row r="19" spans="2:22" x14ac:dyDescent="0.25">
      <c r="B19" s="93" t="str">
        <f>P$18</f>
        <v>Kiln</v>
      </c>
      <c r="C19" s="93" t="str">
        <f>PRI_Sector_Fuels!N6</f>
        <v>MANCOALIMP</v>
      </c>
      <c r="D19" s="95" t="str">
        <f>PRI_Sector_Fuels!N$12</f>
        <v>MANHEAT</v>
      </c>
      <c r="E19" s="113">
        <f>EBF!D6/(DemTechs_INDF!G19*DemTechs_INDF!F37)*1000</f>
        <v>655.38846855579084</v>
      </c>
      <c r="F19" s="110">
        <v>0.31</v>
      </c>
      <c r="G19" s="111">
        <v>0.55000000000000004</v>
      </c>
      <c r="H19" s="111">
        <v>0.9</v>
      </c>
      <c r="I19" s="136">
        <v>30</v>
      </c>
      <c r="J19" s="112">
        <v>144094</v>
      </c>
      <c r="K19" s="112"/>
      <c r="L19" s="112"/>
      <c r="M19" s="112"/>
      <c r="N19" s="93" t="s">
        <v>115</v>
      </c>
      <c r="P19" s="93" t="s">
        <v>158</v>
      </c>
      <c r="Q19" s="93" t="s">
        <v>159</v>
      </c>
      <c r="R19" s="95" t="str">
        <f>$E$2</f>
        <v>GWh</v>
      </c>
      <c r="S19" s="95" t="s">
        <v>157</v>
      </c>
      <c r="T19" s="95"/>
      <c r="U19" s="95"/>
      <c r="V19" s="95"/>
    </row>
    <row r="20" spans="2:22" x14ac:dyDescent="0.25">
      <c r="B20" s="93" t="str">
        <f>P$19</f>
        <v>Boiler</v>
      </c>
      <c r="C20" s="93" t="str">
        <f>PRI_Sector_Fuels!N7</f>
        <v>MANOILIMP</v>
      </c>
      <c r="D20" s="95" t="str">
        <f>PRI_Sector_Fuels!N$12</f>
        <v>MANHEAT</v>
      </c>
      <c r="E20" s="113">
        <f>EBF!E18/(DemTechs_INDF!G20*DemTechs_INDF!F37)*1000</f>
        <v>396.51753552657539</v>
      </c>
      <c r="F20" s="110">
        <v>0.25</v>
      </c>
      <c r="G20" s="111">
        <v>0.75</v>
      </c>
      <c r="H20" s="113">
        <v>0.9</v>
      </c>
      <c r="I20" s="112">
        <v>30</v>
      </c>
      <c r="J20" s="112">
        <v>60000</v>
      </c>
      <c r="K20" s="112"/>
      <c r="L20" s="112"/>
      <c r="N20" s="93" t="s">
        <v>115</v>
      </c>
      <c r="P20" s="170" t="s">
        <v>170</v>
      </c>
      <c r="Q20" s="93" t="s">
        <v>260</v>
      </c>
      <c r="R20" s="93" t="s">
        <v>165</v>
      </c>
      <c r="S20" s="93" t="s">
        <v>157</v>
      </c>
      <c r="T20" s="159" t="s">
        <v>267</v>
      </c>
    </row>
    <row r="21" spans="2:22" s="165" customFormat="1" x14ac:dyDescent="0.25">
      <c r="B21" s="99" t="str">
        <f>P21</f>
        <v>CSP</v>
      </c>
      <c r="C21" s="99" t="str">
        <f>PRI_Sector_Fuels!N9</f>
        <v>SOLTHT</v>
      </c>
      <c r="D21" s="95" t="str">
        <f>PRI_Sector_Fuels!N$12</f>
        <v>MANHEAT</v>
      </c>
      <c r="E21" s="167">
        <f>EBF!K18/(DemTechs_INDF!G21*DemTechs_INDF!F37)*1000</f>
        <v>1500.3320739839382</v>
      </c>
      <c r="F21" s="168">
        <v>1</v>
      </c>
      <c r="G21" s="165">
        <v>1</v>
      </c>
      <c r="H21" s="165">
        <v>1</v>
      </c>
      <c r="I21" s="165">
        <v>50</v>
      </c>
      <c r="J21" s="165">
        <v>0</v>
      </c>
      <c r="N21" s="165" t="s">
        <v>115</v>
      </c>
      <c r="P21" s="165" t="s">
        <v>278</v>
      </c>
      <c r="Q21" s="165" t="s">
        <v>279</v>
      </c>
      <c r="R21" s="99" t="s">
        <v>165</v>
      </c>
      <c r="S21" s="99" t="s">
        <v>157</v>
      </c>
      <c r="T21" s="169" t="s">
        <v>267</v>
      </c>
    </row>
    <row r="22" spans="2:22" s="165" customFormat="1" x14ac:dyDescent="0.25">
      <c r="B22" s="99" t="str">
        <f>P20</f>
        <v>MANELC</v>
      </c>
      <c r="C22" s="99" t="str">
        <f>PRI_Sector_Fuels!N8</f>
        <v>ELC</v>
      </c>
      <c r="D22" s="95" t="str">
        <f>PRI_Sector_Fuels!N$13</f>
        <v>MANELC</v>
      </c>
      <c r="E22" s="167">
        <v>0</v>
      </c>
      <c r="F22" s="168">
        <v>1</v>
      </c>
      <c r="G22" s="165">
        <v>1</v>
      </c>
      <c r="H22" s="165">
        <v>1</v>
      </c>
      <c r="I22" s="165">
        <v>50</v>
      </c>
      <c r="J22" s="165">
        <v>0</v>
      </c>
      <c r="N22" s="165" t="s">
        <v>115</v>
      </c>
      <c r="P22" s="165" t="s">
        <v>280</v>
      </c>
      <c r="Q22" s="165" t="s">
        <v>281</v>
      </c>
      <c r="R22" s="99" t="s">
        <v>165</v>
      </c>
      <c r="S22" s="99" t="s">
        <v>157</v>
      </c>
    </row>
    <row r="23" spans="2:22" s="165" customFormat="1" x14ac:dyDescent="0.25">
      <c r="B23" s="99" t="str">
        <f>P18</f>
        <v>Kiln</v>
      </c>
      <c r="C23" s="99" t="str">
        <f>PRI_Sector_Fuels!N$10</f>
        <v>MANBIOMIN</v>
      </c>
      <c r="D23" s="95" t="str">
        <f>PRI_Sector_Fuels!N$12</f>
        <v>MANHEAT</v>
      </c>
      <c r="E23" s="167">
        <v>0</v>
      </c>
      <c r="F23" s="168">
        <v>1</v>
      </c>
      <c r="G23" s="165">
        <v>1</v>
      </c>
      <c r="H23" s="165">
        <v>1</v>
      </c>
      <c r="I23" s="165">
        <v>50</v>
      </c>
      <c r="J23" s="165">
        <v>0</v>
      </c>
    </row>
    <row r="24" spans="2:22" s="165" customFormat="1" x14ac:dyDescent="0.25">
      <c r="B24" s="99" t="str">
        <f>P19</f>
        <v>Boiler</v>
      </c>
      <c r="C24" s="99" t="str">
        <f>PRI_Sector_Fuels!N$10</f>
        <v>MANBIOMIN</v>
      </c>
      <c r="D24" s="95" t="str">
        <f>PRI_Sector_Fuels!N$12</f>
        <v>MANHEAT</v>
      </c>
      <c r="E24" s="167">
        <v>0</v>
      </c>
      <c r="F24" s="168">
        <v>1</v>
      </c>
      <c r="G24" s="165">
        <v>1</v>
      </c>
      <c r="H24" s="165">
        <v>1</v>
      </c>
      <c r="I24" s="165">
        <v>50</v>
      </c>
      <c r="J24" s="165">
        <v>0</v>
      </c>
    </row>
    <row r="25" spans="2:22" s="165" customFormat="1" x14ac:dyDescent="0.25">
      <c r="B25" s="99" t="str">
        <f>P22</f>
        <v>Furnace</v>
      </c>
      <c r="C25" s="166" t="str">
        <f>PRI_Sector_Fuels!N8</f>
        <v>ELC</v>
      </c>
      <c r="D25" s="95" t="str">
        <f>PRI_Sector_Fuels!N$12</f>
        <v>MANHEAT</v>
      </c>
      <c r="E25" s="167">
        <v>0</v>
      </c>
      <c r="F25" s="168">
        <v>1</v>
      </c>
      <c r="G25" s="165">
        <v>1</v>
      </c>
      <c r="H25" s="165">
        <v>1</v>
      </c>
      <c r="I25" s="165">
        <v>50</v>
      </c>
      <c r="J25" s="165">
        <v>0</v>
      </c>
    </row>
    <row r="26" spans="2:22" s="118" customFormat="1" x14ac:dyDescent="0.25">
      <c r="B26" s="170" t="s">
        <v>158</v>
      </c>
      <c r="C26" s="95" t="str">
        <f>PRI_Sector_Fuels!N8</f>
        <v>ELC</v>
      </c>
      <c r="D26" s="95" t="str">
        <f>PRI_Sector_Fuels!N$12</f>
        <v>MANHEAT</v>
      </c>
      <c r="E26" s="167">
        <v>0</v>
      </c>
      <c r="F26" s="168">
        <v>1</v>
      </c>
      <c r="G26" s="165">
        <v>1</v>
      </c>
      <c r="H26" s="165">
        <v>1</v>
      </c>
      <c r="I26" s="165">
        <v>50</v>
      </c>
      <c r="J26" s="165">
        <v>0</v>
      </c>
    </row>
    <row r="27" spans="2:22" x14ac:dyDescent="0.25">
      <c r="B27" s="170" t="s">
        <v>158</v>
      </c>
      <c r="C27" s="95" t="str">
        <f>PRI_Sector_Fuels!N11</f>
        <v>MANGASMIN</v>
      </c>
      <c r="D27" s="95" t="str">
        <f>PRI_Sector_Fuels!N$12</f>
        <v>MANHEAT</v>
      </c>
      <c r="E27" s="167">
        <v>0</v>
      </c>
      <c r="F27" s="168">
        <v>1</v>
      </c>
      <c r="G27" s="165">
        <v>1</v>
      </c>
      <c r="H27" s="165">
        <v>1</v>
      </c>
      <c r="I27" s="165">
        <v>50</v>
      </c>
      <c r="J27" s="165">
        <v>0</v>
      </c>
    </row>
    <row r="28" spans="2:22" x14ac:dyDescent="0.25">
      <c r="B28" s="170"/>
      <c r="C28" s="95"/>
      <c r="D28" s="166"/>
      <c r="E28" s="167"/>
      <c r="F28" s="168"/>
      <c r="G28" s="165"/>
      <c r="H28" s="165"/>
      <c r="I28" s="165"/>
      <c r="J28" s="165"/>
    </row>
    <row r="29" spans="2:22" x14ac:dyDescent="0.25">
      <c r="F29" s="114"/>
      <c r="N29" s="93" t="s">
        <v>115</v>
      </c>
      <c r="P29" s="93" t="s">
        <v>46</v>
      </c>
      <c r="Q29" s="93" t="s">
        <v>260</v>
      </c>
      <c r="R29" s="95" t="str">
        <f t="shared" ref="R29" si="0">$E$2</f>
        <v>GWh</v>
      </c>
      <c r="S29" s="95" t="s">
        <v>157</v>
      </c>
      <c r="T29" s="159" t="s">
        <v>267</v>
      </c>
    </row>
    <row r="30" spans="2:22" x14ac:dyDescent="0.25">
      <c r="F30" s="114"/>
      <c r="N30" s="93" t="s">
        <v>115</v>
      </c>
      <c r="O30" s="118"/>
      <c r="P30" s="93" t="s">
        <v>248</v>
      </c>
      <c r="Q30" s="118" t="s">
        <v>249</v>
      </c>
      <c r="R30" s="119" t="s">
        <v>165</v>
      </c>
      <c r="S30" s="119" t="s">
        <v>157</v>
      </c>
    </row>
    <row r="31" spans="2:22" x14ac:dyDescent="0.25">
      <c r="F31" s="114"/>
      <c r="G31" s="21"/>
      <c r="H31" s="115"/>
      <c r="N31" s="93" t="s">
        <v>115</v>
      </c>
      <c r="P31" s="93" t="s">
        <v>85</v>
      </c>
      <c r="Q31" s="93" t="s">
        <v>250</v>
      </c>
    </row>
    <row r="32" spans="2:22" x14ac:dyDescent="0.25">
      <c r="H32" s="115"/>
    </row>
    <row r="33" spans="2:8" x14ac:dyDescent="0.25">
      <c r="B33" s="112"/>
      <c r="C33" s="93" t="s">
        <v>99</v>
      </c>
      <c r="H33" s="115"/>
    </row>
    <row r="34" spans="2:8" x14ac:dyDescent="0.25">
      <c r="B34" s="116"/>
      <c r="C34" s="93" t="s">
        <v>100</v>
      </c>
      <c r="H34" s="115"/>
    </row>
    <row r="35" spans="2:8" x14ac:dyDescent="0.25">
      <c r="E35" s="93" t="s">
        <v>241</v>
      </c>
      <c r="F35" s="93" t="s">
        <v>243</v>
      </c>
      <c r="H35" s="115"/>
    </row>
    <row r="37" spans="2:8" x14ac:dyDescent="0.25">
      <c r="E37" s="93" t="s">
        <v>242</v>
      </c>
      <c r="F37" s="93">
        <f>24*365</f>
        <v>8760</v>
      </c>
    </row>
    <row r="38" spans="2:8" x14ac:dyDescent="0.25">
      <c r="E38" s="21"/>
    </row>
  </sheetData>
  <pageMargins left="0.7" right="0.7" top="0.75" bottom="0.75" header="0.3" footer="0.3"/>
  <pageSetup paperSize="9" orientation="portrait" r:id="rId1"/>
  <ignoredErrors>
    <ignoredError sqref="D22" 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B19" sqref="B19:D20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182</v>
      </c>
      <c r="C6" s="122" t="s">
        <v>0</v>
      </c>
      <c r="D6" s="122" t="s">
        <v>183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184</v>
      </c>
      <c r="D7" s="125" t="s">
        <v>185</v>
      </c>
      <c r="E7" s="125" t="s">
        <v>186</v>
      </c>
      <c r="F7" s="125" t="s">
        <v>186</v>
      </c>
      <c r="G7" s="125" t="s">
        <v>186</v>
      </c>
      <c r="H7" s="125" t="s">
        <v>186</v>
      </c>
      <c r="I7" s="125" t="s">
        <v>186</v>
      </c>
      <c r="J7" s="125" t="s">
        <v>186</v>
      </c>
      <c r="K7" s="125" t="s">
        <v>186</v>
      </c>
      <c r="L7" s="153"/>
      <c r="M7" s="155" t="s">
        <v>266</v>
      </c>
      <c r="N7" s="130"/>
      <c r="O7" s="122" t="s">
        <v>182</v>
      </c>
      <c r="P7" s="122" t="s">
        <v>0</v>
      </c>
      <c r="Q7" s="122" t="s">
        <v>188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165</v>
      </c>
      <c r="F8" s="124" t="s">
        <v>165</v>
      </c>
      <c r="G8" s="124" t="s">
        <v>165</v>
      </c>
      <c r="H8" s="124" t="s">
        <v>165</v>
      </c>
      <c r="I8" s="124" t="s">
        <v>165</v>
      </c>
      <c r="J8" s="124" t="s">
        <v>165</v>
      </c>
      <c r="K8" s="124" t="s">
        <v>165</v>
      </c>
      <c r="L8" s="153"/>
      <c r="M8" s="155"/>
      <c r="N8" s="130"/>
      <c r="O8" s="132" t="s">
        <v>81</v>
      </c>
      <c r="P8" s="132" t="s">
        <v>184</v>
      </c>
      <c r="Q8" s="132"/>
      <c r="R8" s="132"/>
    </row>
    <row r="9" spans="2:18" ht="13.8" thickBot="1" x14ac:dyDescent="0.3">
      <c r="B9" s="126" t="s">
        <v>187</v>
      </c>
      <c r="C9" s="126" t="str">
        <f>DemTechs_INDF!P6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187</v>
      </c>
      <c r="C10" s="126" t="str">
        <f>DemTechs_INDF!P7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189</v>
      </c>
      <c r="P10" s="1" t="str">
        <f>DemTechs_INDF!P$7</f>
        <v>MANELC</v>
      </c>
      <c r="Q10" s="93" t="s">
        <v>190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189</v>
      </c>
      <c r="P11" s="1" t="str">
        <f>DemTechs_INDF!P$7</f>
        <v>MANELC</v>
      </c>
      <c r="Q11" s="93" t="s">
        <v>191</v>
      </c>
      <c r="R11" s="133">
        <v>0.25</v>
      </c>
    </row>
    <row r="12" spans="2:18" x14ac:dyDescent="0.25">
      <c r="B12" s="126"/>
      <c r="C12" s="126"/>
      <c r="D12" s="146" t="s">
        <v>264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189</v>
      </c>
      <c r="P12" s="1" t="str">
        <f>DemTechs_INDF!P$7</f>
        <v>MANELC</v>
      </c>
      <c r="Q12" s="93" t="s">
        <v>192</v>
      </c>
      <c r="R12" s="133">
        <v>1.0416666666666666E-2</v>
      </c>
    </row>
    <row r="13" spans="2:18" x14ac:dyDescent="0.25">
      <c r="B13" s="1"/>
      <c r="D13" t="s">
        <v>265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189</v>
      </c>
      <c r="P13" s="1" t="str">
        <f>DemTechs_INDF!P$7</f>
        <v>MANELC</v>
      </c>
      <c r="Q13" s="134" t="s">
        <v>193</v>
      </c>
      <c r="R13" s="135">
        <v>1.0416666666666666E-2</v>
      </c>
    </row>
    <row r="14" spans="2:18" x14ac:dyDescent="0.25">
      <c r="O14" s="1" t="s">
        <v>189</v>
      </c>
      <c r="P14" s="1" t="str">
        <f>DemTechs_INDF!P$7</f>
        <v>MANELC</v>
      </c>
      <c r="Q14" t="s">
        <v>194</v>
      </c>
      <c r="R14" s="133">
        <v>1.0416666666666666E-2</v>
      </c>
    </row>
    <row r="15" spans="2:18" x14ac:dyDescent="0.25">
      <c r="O15" s="1" t="s">
        <v>189</v>
      </c>
      <c r="P15" s="1" t="str">
        <f>DemTechs_INDF!P$7</f>
        <v>MANELC</v>
      </c>
      <c r="Q15" t="s">
        <v>195</v>
      </c>
      <c r="R15" s="133">
        <v>1.0416666666666666E-2</v>
      </c>
    </row>
    <row r="16" spans="2:18" x14ac:dyDescent="0.25">
      <c r="E16" s="5"/>
      <c r="O16" s="1" t="s">
        <v>189</v>
      </c>
      <c r="P16" s="1" t="str">
        <f>DemTechs_INDF!P$7</f>
        <v>MANELC</v>
      </c>
      <c r="Q16" t="s">
        <v>196</v>
      </c>
      <c r="R16" s="133">
        <v>1.0416666666666666E-2</v>
      </c>
    </row>
    <row r="17" spans="2:18" x14ac:dyDescent="0.25">
      <c r="O17" s="1" t="s">
        <v>189</v>
      </c>
      <c r="P17" s="1" t="str">
        <f>DemTechs_INDF!P$7</f>
        <v>MANELC</v>
      </c>
      <c r="Q17" t="s">
        <v>197</v>
      </c>
      <c r="R17" s="135">
        <v>1.0416666666666666E-2</v>
      </c>
    </row>
    <row r="18" spans="2:18" x14ac:dyDescent="0.25">
      <c r="O18" s="1" t="s">
        <v>189</v>
      </c>
      <c r="P18" s="1" t="str">
        <f>DemTechs_INDF!P$7</f>
        <v>MANELC</v>
      </c>
      <c r="Q18" t="s">
        <v>198</v>
      </c>
      <c r="R18" s="133">
        <v>1.0416666666666666E-2</v>
      </c>
    </row>
    <row r="19" spans="2:18" x14ac:dyDescent="0.25">
      <c r="B19" s="1"/>
      <c r="E19" s="5">
        <f>EBF!J19</f>
        <v>150.60848427090019</v>
      </c>
      <c r="O19" s="1" t="s">
        <v>189</v>
      </c>
      <c r="P19" s="1" t="str">
        <f>DemTechs_INDF!P$7</f>
        <v>MANELC</v>
      </c>
      <c r="Q19" t="s">
        <v>199</v>
      </c>
      <c r="R19" s="133">
        <v>1.0416666666666666E-2</v>
      </c>
    </row>
    <row r="20" spans="2:18" x14ac:dyDescent="0.25">
      <c r="B20" s="1"/>
      <c r="E20" s="5">
        <f>EBF!E19</f>
        <v>8781.4640358504003</v>
      </c>
      <c r="O20" s="1" t="s">
        <v>189</v>
      </c>
      <c r="P20" s="1" t="str">
        <f>DemTechs_INDF!P$7</f>
        <v>MANELC</v>
      </c>
      <c r="Q20" t="s">
        <v>200</v>
      </c>
      <c r="R20" s="133">
        <v>1.0416666666666666E-2</v>
      </c>
    </row>
    <row r="21" spans="2:18" x14ac:dyDescent="0.25">
      <c r="O21" s="1" t="s">
        <v>189</v>
      </c>
      <c r="P21" s="1" t="str">
        <f>DemTechs_INDF!P$7</f>
        <v>MANELC</v>
      </c>
      <c r="Q21" t="s">
        <v>201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189</v>
      </c>
      <c r="P22" s="1" t="str">
        <f>DemTechs_INDF!P$7</f>
        <v>MANELC</v>
      </c>
      <c r="Q22" t="s">
        <v>202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189</v>
      </c>
      <c r="P23" s="1" t="str">
        <f>DemTechs_INDF!P$7</f>
        <v>MANELC</v>
      </c>
      <c r="Q23" t="s">
        <v>203</v>
      </c>
      <c r="R23" s="133">
        <v>1.0416666666666666E-2</v>
      </c>
    </row>
    <row r="24" spans="2:18" x14ac:dyDescent="0.25">
      <c r="O24" s="1" t="s">
        <v>189</v>
      </c>
      <c r="P24" s="1" t="str">
        <f>DemTechs_INDF!P$7</f>
        <v>MANELC</v>
      </c>
      <c r="Q24" t="s">
        <v>204</v>
      </c>
      <c r="R24" s="133">
        <v>1.0416666666666666E-2</v>
      </c>
    </row>
    <row r="25" spans="2:18" x14ac:dyDescent="0.25">
      <c r="O25" s="1" t="s">
        <v>189</v>
      </c>
      <c r="P25" s="1" t="str">
        <f>DemTechs_INDF!P$7</f>
        <v>MANELC</v>
      </c>
      <c r="Q25" t="s">
        <v>205</v>
      </c>
      <c r="R25" s="135">
        <v>1.0416666666666666E-2</v>
      </c>
    </row>
    <row r="26" spans="2:18" x14ac:dyDescent="0.25">
      <c r="O26" s="1" t="s">
        <v>189</v>
      </c>
      <c r="P26" s="1" t="str">
        <f>DemTechs_INDF!P$7</f>
        <v>MANELC</v>
      </c>
      <c r="Q26" t="s">
        <v>206</v>
      </c>
      <c r="R26" s="133">
        <v>1.0416666666666666E-2</v>
      </c>
    </row>
    <row r="27" spans="2:18" x14ac:dyDescent="0.25">
      <c r="O27" s="1" t="s">
        <v>189</v>
      </c>
      <c r="P27" s="1" t="str">
        <f>DemTechs_INDF!P$7</f>
        <v>MANELC</v>
      </c>
      <c r="Q27" t="s">
        <v>207</v>
      </c>
      <c r="R27" s="133">
        <v>1.0416666666666666E-2</v>
      </c>
    </row>
    <row r="28" spans="2:18" x14ac:dyDescent="0.25">
      <c r="O28" s="1" t="s">
        <v>189</v>
      </c>
      <c r="P28" s="1" t="str">
        <f>DemTechs_INDF!P$7</f>
        <v>MANELC</v>
      </c>
      <c r="Q28" t="s">
        <v>208</v>
      </c>
      <c r="R28" s="133">
        <v>1.0416666666666666E-2</v>
      </c>
    </row>
    <row r="29" spans="2:18" x14ac:dyDescent="0.25">
      <c r="O29" s="1" t="s">
        <v>189</v>
      </c>
      <c r="P29" s="1" t="str">
        <f>DemTechs_INDF!P$7</f>
        <v>MANELC</v>
      </c>
      <c r="Q29" t="s">
        <v>209</v>
      </c>
      <c r="R29" s="135">
        <v>1.0416666666666666E-2</v>
      </c>
    </row>
    <row r="30" spans="2:18" x14ac:dyDescent="0.25">
      <c r="O30" s="1" t="s">
        <v>189</v>
      </c>
      <c r="P30" s="1" t="str">
        <f>DemTechs_INDF!P$7</f>
        <v>MANELC</v>
      </c>
      <c r="Q30" t="s">
        <v>210</v>
      </c>
      <c r="R30" s="133">
        <v>1.0416666666666666E-2</v>
      </c>
    </row>
    <row r="31" spans="2:18" x14ac:dyDescent="0.25">
      <c r="O31" s="1" t="s">
        <v>189</v>
      </c>
      <c r="P31" s="1" t="str">
        <f>DemTechs_INDF!P$7</f>
        <v>MANELC</v>
      </c>
      <c r="Q31" t="s">
        <v>211</v>
      </c>
      <c r="R31" s="133">
        <v>1.0416666666666666E-2</v>
      </c>
    </row>
    <row r="32" spans="2:18" x14ac:dyDescent="0.25">
      <c r="O32" s="1" t="s">
        <v>189</v>
      </c>
      <c r="P32" s="1" t="str">
        <f>DemTechs_INDF!P$7</f>
        <v>MANELC</v>
      </c>
      <c r="Q32" t="s">
        <v>212</v>
      </c>
      <c r="R32" s="133">
        <v>1.0416666666666666E-2</v>
      </c>
    </row>
    <row r="33" spans="15:18" x14ac:dyDescent="0.25">
      <c r="O33" s="1" t="s">
        <v>189</v>
      </c>
      <c r="P33" s="1" t="str">
        <f>DemTechs_INDF!P$7</f>
        <v>MANELC</v>
      </c>
      <c r="Q33" t="s">
        <v>213</v>
      </c>
      <c r="R33" s="135">
        <v>1.0416666666666666E-2</v>
      </c>
    </row>
    <row r="34" spans="15:18" x14ac:dyDescent="0.25">
      <c r="O34" s="1" t="s">
        <v>189</v>
      </c>
      <c r="P34" s="1" t="str">
        <f>DemTechs_INDF!P$7</f>
        <v>MANELC</v>
      </c>
      <c r="Q34" t="s">
        <v>214</v>
      </c>
      <c r="R34" s="133">
        <v>1.0416666666666666E-2</v>
      </c>
    </row>
    <row r="35" spans="15:18" x14ac:dyDescent="0.25">
      <c r="O35" s="1" t="s">
        <v>189</v>
      </c>
      <c r="P35" s="1" t="str">
        <f>DemTechs_INDF!P$7</f>
        <v>MANELC</v>
      </c>
      <c r="Q35" t="s">
        <v>215</v>
      </c>
      <c r="R35" s="133">
        <v>1.0416666666666666E-2</v>
      </c>
    </row>
    <row r="36" spans="15:18" x14ac:dyDescent="0.25">
      <c r="O36" s="1" t="s">
        <v>189</v>
      </c>
      <c r="P36" s="1" t="str">
        <f>DemTechs_INDF!P$7</f>
        <v>MANELC</v>
      </c>
      <c r="Q36" t="s">
        <v>216</v>
      </c>
      <c r="R36" s="133">
        <v>3.125E-2</v>
      </c>
    </row>
    <row r="37" spans="15:18" x14ac:dyDescent="0.25">
      <c r="O37" s="1" t="s">
        <v>189</v>
      </c>
      <c r="P37" s="1" t="str">
        <f>DemTechs_INDF!P$7</f>
        <v>MANELC</v>
      </c>
      <c r="Q37" t="s">
        <v>217</v>
      </c>
      <c r="R37" s="135">
        <v>3.125E-2</v>
      </c>
    </row>
    <row r="38" spans="15:18" x14ac:dyDescent="0.25">
      <c r="O38" s="1" t="s">
        <v>189</v>
      </c>
      <c r="P38" s="1" t="str">
        <f>DemTechs_INDF!P$7</f>
        <v>MANELC</v>
      </c>
      <c r="Q38" t="s">
        <v>218</v>
      </c>
      <c r="R38" s="133">
        <v>3.125E-2</v>
      </c>
    </row>
    <row r="39" spans="15:18" x14ac:dyDescent="0.25">
      <c r="O39" s="1" t="s">
        <v>189</v>
      </c>
      <c r="P39" s="1" t="str">
        <f>DemTechs_INDF!P$7</f>
        <v>MANELC</v>
      </c>
      <c r="Q39" t="s">
        <v>219</v>
      </c>
      <c r="R39" s="133">
        <v>3.125E-2</v>
      </c>
    </row>
    <row r="40" spans="15:18" x14ac:dyDescent="0.25">
      <c r="O40" s="1" t="s">
        <v>189</v>
      </c>
      <c r="P40" s="1" t="str">
        <f>DemTechs_INDF!P$7</f>
        <v>MANELC</v>
      </c>
      <c r="Q40" t="s">
        <v>220</v>
      </c>
      <c r="R40" s="133">
        <v>3.125E-2</v>
      </c>
    </row>
    <row r="41" spans="15:18" x14ac:dyDescent="0.25">
      <c r="O41" s="1" t="s">
        <v>189</v>
      </c>
      <c r="P41" s="1" t="str">
        <f>DemTechs_INDF!P$7</f>
        <v>MANELC</v>
      </c>
      <c r="Q41" t="s">
        <v>221</v>
      </c>
      <c r="R41" s="135">
        <v>3.125E-2</v>
      </c>
    </row>
    <row r="42" spans="15:18" x14ac:dyDescent="0.25">
      <c r="O42" s="1" t="s">
        <v>189</v>
      </c>
      <c r="P42" s="1" t="str">
        <f>DemTechs_INDF!P$7</f>
        <v>MANELC</v>
      </c>
      <c r="Q42" t="s">
        <v>222</v>
      </c>
      <c r="R42" s="133">
        <v>3.125E-2</v>
      </c>
    </row>
    <row r="43" spans="15:18" x14ac:dyDescent="0.25">
      <c r="O43" s="1" t="s">
        <v>189</v>
      </c>
      <c r="P43" s="1" t="str">
        <f>DemTechs_INDF!P$7</f>
        <v>MANELC</v>
      </c>
      <c r="Q43" t="s">
        <v>223</v>
      </c>
      <c r="R43" s="133">
        <v>3.125E-2</v>
      </c>
    </row>
    <row r="44" spans="15:18" x14ac:dyDescent="0.25">
      <c r="O44" s="1" t="s">
        <v>189</v>
      </c>
      <c r="P44" s="1" t="str">
        <f>DemTechs_INDF!P$7</f>
        <v>MANELC</v>
      </c>
      <c r="Q44" t="s">
        <v>224</v>
      </c>
      <c r="R44" s="133">
        <v>3.125E-2</v>
      </c>
    </row>
    <row r="45" spans="15:18" x14ac:dyDescent="0.25">
      <c r="O45" s="1" t="s">
        <v>189</v>
      </c>
      <c r="P45" s="1" t="str">
        <f>DemTechs_INDF!P$7</f>
        <v>MANELC</v>
      </c>
      <c r="Q45" t="s">
        <v>225</v>
      </c>
      <c r="R45" s="135">
        <v>3.125E-2</v>
      </c>
    </row>
    <row r="46" spans="15:18" x14ac:dyDescent="0.25">
      <c r="O46" s="1" t="s">
        <v>189</v>
      </c>
      <c r="P46" s="1" t="str">
        <f>DemTechs_INDF!P$7</f>
        <v>MANELC</v>
      </c>
      <c r="Q46" t="s">
        <v>226</v>
      </c>
      <c r="R46" s="133">
        <v>3.125E-2</v>
      </c>
    </row>
    <row r="47" spans="15:18" x14ac:dyDescent="0.25">
      <c r="O47" s="1" t="s">
        <v>189</v>
      </c>
      <c r="P47" s="1" t="str">
        <f>DemTechs_INDF!P$7</f>
        <v>MANELC</v>
      </c>
      <c r="Q47" t="s">
        <v>227</v>
      </c>
      <c r="R47" s="133">
        <v>3.125E-2</v>
      </c>
    </row>
    <row r="48" spans="15:18" x14ac:dyDescent="0.25">
      <c r="O48" s="1" t="s">
        <v>189</v>
      </c>
      <c r="P48" s="1" t="str">
        <f>DemTechs_INDF!P$7</f>
        <v>MANELC</v>
      </c>
      <c r="Q48" t="s">
        <v>228</v>
      </c>
      <c r="R48" s="133">
        <v>3.125E-2</v>
      </c>
    </row>
    <row r="49" spans="15:18" x14ac:dyDescent="0.25">
      <c r="O49" s="1" t="s">
        <v>189</v>
      </c>
      <c r="P49" s="1" t="str">
        <f>DemTechs_INDF!P$7</f>
        <v>MANELC</v>
      </c>
      <c r="Q49" t="s">
        <v>229</v>
      </c>
      <c r="R49" s="135">
        <v>3.125E-2</v>
      </c>
    </row>
    <row r="50" spans="15:18" x14ac:dyDescent="0.25">
      <c r="O50" s="1" t="s">
        <v>189</v>
      </c>
      <c r="P50" s="1" t="str">
        <f>DemTechs_INDF!P$7</f>
        <v>MANELC</v>
      </c>
      <c r="Q50" t="s">
        <v>230</v>
      </c>
      <c r="R50" s="133">
        <v>3.125E-2</v>
      </c>
    </row>
    <row r="51" spans="15:18" x14ac:dyDescent="0.25">
      <c r="O51" s="1" t="s">
        <v>189</v>
      </c>
      <c r="P51" s="1" t="str">
        <f>DemTechs_INDF!P$7</f>
        <v>MANELC</v>
      </c>
      <c r="Q51" t="s">
        <v>231</v>
      </c>
      <c r="R51" s="133">
        <v>3.125E-2</v>
      </c>
    </row>
    <row r="52" spans="15:18" x14ac:dyDescent="0.25">
      <c r="O52" s="1" t="s">
        <v>189</v>
      </c>
      <c r="P52" s="1" t="str">
        <f>DemTechs_INDF!P$7</f>
        <v>MANELC</v>
      </c>
      <c r="Q52" t="s">
        <v>232</v>
      </c>
      <c r="R52" s="133">
        <v>3.125E-2</v>
      </c>
    </row>
    <row r="53" spans="15:18" x14ac:dyDescent="0.25">
      <c r="O53" s="1" t="s">
        <v>189</v>
      </c>
      <c r="P53" s="1" t="str">
        <f>DemTechs_INDF!P$7</f>
        <v>MANELC</v>
      </c>
      <c r="Q53" t="s">
        <v>233</v>
      </c>
      <c r="R53" s="135">
        <v>3.125E-2</v>
      </c>
    </row>
    <row r="54" spans="15:18" x14ac:dyDescent="0.25">
      <c r="O54" s="1" t="s">
        <v>189</v>
      </c>
      <c r="P54" s="1" t="str">
        <f>DemTechs_INDF!P$7</f>
        <v>MANELC</v>
      </c>
      <c r="Q54" t="s">
        <v>234</v>
      </c>
      <c r="R54" s="133">
        <v>3.125E-2</v>
      </c>
    </row>
    <row r="55" spans="15:18" x14ac:dyDescent="0.25">
      <c r="O55" s="1" t="s">
        <v>189</v>
      </c>
      <c r="P55" s="1" t="str">
        <f>DemTechs_INDF!P$7</f>
        <v>MANELC</v>
      </c>
      <c r="Q55" t="s">
        <v>235</v>
      </c>
      <c r="R55" s="133">
        <v>3.125E-2</v>
      </c>
    </row>
    <row r="56" spans="15:18" x14ac:dyDescent="0.25">
      <c r="O56" s="1" t="s">
        <v>189</v>
      </c>
      <c r="P56" s="1" t="str">
        <f>DemTechs_INDF!P$7</f>
        <v>MANELC</v>
      </c>
      <c r="Q56" t="s">
        <v>236</v>
      </c>
      <c r="R56" s="133">
        <v>3.125E-2</v>
      </c>
    </row>
    <row r="57" spans="15:18" x14ac:dyDescent="0.25">
      <c r="O57" s="1" t="s">
        <v>189</v>
      </c>
      <c r="P57" s="1" t="str">
        <f>DemTechs_INDF!P$7</f>
        <v>MANELC</v>
      </c>
      <c r="Q57" t="s">
        <v>237</v>
      </c>
      <c r="R57" s="135">
        <v>3.125E-2</v>
      </c>
    </row>
    <row r="58" spans="15:18" x14ac:dyDescent="0.25">
      <c r="O58" s="1" t="s">
        <v>189</v>
      </c>
      <c r="P58" s="1" t="str">
        <f>DemTechs_INDF!P$7</f>
        <v>MANELC</v>
      </c>
      <c r="Q58" t="s">
        <v>238</v>
      </c>
      <c r="R58" s="133">
        <v>3.125E-2</v>
      </c>
    </row>
    <row r="59" spans="15:18" x14ac:dyDescent="0.25">
      <c r="O59" s="1" t="s">
        <v>189</v>
      </c>
      <c r="P59" s="1" t="str">
        <f>DemTechs_INDF!P$7</f>
        <v>MANELC</v>
      </c>
      <c r="Q59" t="s">
        <v>239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Energybalance history</vt:lpstr>
      <vt:lpstr>Enrgy growth</vt:lpstr>
      <vt:lpstr>TechnologydataTech</vt:lpstr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2025-10-24T16:34:57Z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