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C9439135-45BB-43B9-8786-54D364C99B44}" xr6:coauthVersionLast="47" xr6:coauthVersionMax="47" xr10:uidLastSave="{00000000-0000-0000-0000-000000000000}"/>
  <bookViews>
    <workbookView xWindow="28680" yWindow="-120" windowWidth="29040" windowHeight="15720" tabRatio="890" activeTab="4" xr2:uid="{00000000-000D-0000-FFFF-FFFF00000000}"/>
  </bookViews>
  <sheets>
    <sheet name="EBF TJ" sheetId="144" r:id="rId1"/>
    <sheet name="EBF" sheetId="133" r:id="rId2"/>
    <sheet name="RES&amp;OBJ" sheetId="135" r:id="rId3"/>
    <sheet name="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43" l="1"/>
  <c r="B24" i="137"/>
  <c r="N24" i="137"/>
  <c r="B19" i="143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D19" i="143"/>
  <c r="D18" i="143"/>
  <c r="D17" i="143"/>
  <c r="E6" i="146"/>
  <c r="F6" i="146"/>
  <c r="D6" i="146"/>
  <c r="C6" i="146"/>
  <c r="C19" i="143"/>
  <c r="E20" i="145"/>
  <c r="E19" i="145"/>
  <c r="C20" i="145"/>
  <c r="C19" i="145"/>
  <c r="D23" i="143"/>
  <c r="D22" i="143"/>
  <c r="C23" i="143"/>
  <c r="C22" i="143"/>
  <c r="I28" i="137"/>
  <c r="I27" i="137"/>
  <c r="H28" i="137"/>
  <c r="H27" i="137"/>
  <c r="D28" i="137"/>
  <c r="D27" i="137"/>
  <c r="F29" i="143"/>
  <c r="E16" i="143" s="1"/>
  <c r="E18" i="143" l="1"/>
  <c r="E17" i="143"/>
  <c r="C10" i="145" l="1"/>
  <c r="I24" i="137"/>
  <c r="I23" i="137"/>
  <c r="E13" i="145" l="1"/>
  <c r="E12" i="145"/>
  <c r="B18" i="143"/>
  <c r="O23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4" i="137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3" i="137"/>
  <c r="L23" i="137"/>
  <c r="N23" i="137" s="1"/>
  <c r="K48" i="133"/>
  <c r="I22" i="137"/>
  <c r="I21" i="137"/>
  <c r="D22" i="137"/>
  <c r="D21" i="137"/>
  <c r="B17" i="143"/>
  <c r="B16" i="143"/>
  <c r="C17" i="143"/>
  <c r="D2" i="143"/>
  <c r="D9" i="145" l="1"/>
  <c r="B23" i="137"/>
  <c r="B27" i="137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R21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2" i="137"/>
  <c r="L21" i="137"/>
  <c r="G2" i="137"/>
  <c r="D2" i="137"/>
  <c r="O21" i="137" s="1"/>
  <c r="C2" i="137"/>
  <c r="I20" i="137" l="1"/>
  <c r="G20" i="137"/>
  <c r="N21" i="137"/>
  <c r="B21" i="137" s="1"/>
  <c r="N22" i="137"/>
  <c r="B22" i="137" s="1"/>
  <c r="O22" i="137"/>
  <c r="E8" i="133" l="1"/>
  <c r="F8" i="133"/>
  <c r="K20" i="133"/>
  <c r="K21" i="133"/>
  <c r="K22" i="133"/>
  <c r="K23" i="133"/>
  <c r="K24" i="133"/>
  <c r="K18" i="133"/>
  <c r="E19" i="143" s="1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8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18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8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8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9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<sst xmlns="http://schemas.openxmlformats.org/spreadsheetml/2006/main" count="626" uniqueCount="276">
  <si>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</si>
  <si>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</si>
  <si>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</si>
  <si>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</si>
  <si>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</si>
  <si>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</si>
  <si>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</si>
  <si>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</si>
  <si>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</si>
  <si>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</si>
  <si>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</si>
  <si>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</si>
  <si>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</si>
  <si>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</si>
  <si>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</si>
  <si>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</si>
  <si>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</si>
  <si>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</si>
  <si>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</si>
  <si>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</si>
  <si>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</si>
  <si>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</si>
  <si>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</si>
  <si>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</si>
  <si>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</si>
  <si>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</si>
  <si>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</si>
  <si>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</si>
  <si>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</si>
  <si>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</si>
  <si>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</si>
  <si>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</si>
  <si>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</si>
  <si>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</si>
  <si>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</si>
  <si>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</si>
  <si>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</si>
  <si>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</si>
  <si>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</si>
  <si>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</si>
  <si>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</si>
  <si>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</si>
  <si>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</si>
  <si>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</si>
  <si>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</si>
  <si>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</si>
  <si>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</si>
  <si>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</si>
  <si>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</si>
  <si>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</si>
  <si>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</si>
  <si>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</si>
  <si>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</si>
  <si>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</si>
  <si>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</si>
  <si>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</si>
  <si>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</si>
  <si>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</si>
  <si>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</si>
  <si>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</si>
  <si>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</si>
  <si>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</si>
  <si>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</si>
  <si>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</si>
  <si>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</si>
  <si>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</si>
  <si>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</si>
  <si>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</si>
  <si>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</si>
  <si>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</si>
  <si>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</si>
  <si>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</si>
  <si>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</si>
  <si>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</si>
  <si>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</si>
  <si>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</si>
  <si>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</si>
  <si>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</si>
  <si>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</si>
  <si>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</si>
  <si>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</si>
  <si>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</si>
  <si>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</si>
  <si>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</si>
  <si>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</si>
  <si>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</si>
  <si>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</si>
  <si>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</si>
  <si>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</si>
  <si>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</si>
  <si>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</si>
  <si>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</si>
  <si>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</si>
  <si>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</si>
  <si>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</si>
  <si>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</si>
  <si>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</si>
  <si>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</si>
  <si>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</si>
  <si>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</si>
  <si>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</si>
  <si>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</si>
  <si>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</si>
  <si>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</si>
  <si>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</si>
  <si>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</si>
  <si>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</si>
  <si>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</si>
  <si>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</si>
  <si>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</si>
  <si>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</si>
  <si>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</si>
  <si>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</si>
  <si>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</si>
  <si>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</si>
  <si>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</si>
  <si>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</si>
  <si>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</si>
  <si>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</si>
  <si>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</si>
  <si>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</si>
  <si>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</si>
  <si>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</si>
  <si>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</si>
  <si>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</si>
  <si>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</si>
  <si>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</si>
  <si>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</si>
  <si>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</si>
  <si>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</si>
  <si>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</si>
  <si>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</si>
  <si>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</si>
  <si>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</si>
  <si>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</si>
  <si>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</si>
  <si>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</si>
  <si>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</si>
  <si>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</si>
  <si>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</si>
  <si>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</si>
  <si>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</si>
  <si>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</si>
  <si>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</si>
  <si>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</si>
  <si>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</si>
  <si>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</si>
  <si>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</si>
  <si>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</si>
  <si>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</si>
  <si>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</si>
  <si>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</si>
  <si>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</si>
  <si>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</si>
  <si>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</si>
  <si>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</si>
  <si>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</si>
  <si>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</si>
  <si>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</si>
  <si>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</si>
  <si>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</si>
  <si>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</si>
  <si>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</si>
  <si>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</si>
  <si>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</si>
  <si>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</si>
  <si>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</si>
  <si>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</si>
  <si>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</si>
  <si>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</si>
  <si>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</si>
  <si>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</si>
  <si>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</si>
  <si>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</si>
  <si>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</si>
  <si>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</si>
  <si>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</si>
  <si>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</si>
  <si>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</si>
  <si>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</si>
  <si>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</si>
  <si>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</si>
  <si>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</si>
  <si>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</si>
  <si>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</si>
  <si>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</si>
  <si>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</si>
  <si>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</si>
  <si>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</si>
  <si>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</si>
  <si>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</si>
  <si>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</si>
  <si>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</si>
  <si>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</si>
  <si>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</si>
  <si>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</si>
  <si>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</si>
  <si>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</si>
  <si>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</si>
  <si>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</si>
  <si>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</si>
  <si>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</si>
  <si>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</si>
  <si>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</si>
  <si>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</si>
  <si>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</si>
  <si>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</si>
  <si>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</si>
  <si>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</si>
  <si>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</si>
  <si>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</si>
  <si>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</si>
  <si>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</si>
  <si>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</si>
  <si>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</si>
  <si>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</si>
  <si>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</si>
  <si>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</si>
  <si>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</si>
  <si>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</si>
  <si>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</si>
  <si>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</si>
  <si>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</si>
  <si>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</si>
  <si>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</si>
  <si>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</si>
  <si>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</si>
  <si>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</si>
  <si>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</si>
  <si>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</si>
  <si>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</si>
  <si>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</si>
  <si>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</si>
  <si>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</si>
  <si>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</si>
  <si>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</si>
  <si>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</si>
  <si>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</si>
  <si>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</si>
  <si>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</si>
  <si>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</si>
  <si>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</si>
  <si>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</si>
  <si>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</si>
  <si>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</si>
  <si>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</si>
  <si>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</si>
  <si>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</si>
  <si>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</si>
  <si>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</si>
  <si>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</si>
  <si>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</si>
  <si>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</si>
  <si>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</si>
  <si>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</si>
  <si>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</si>
  <si>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</si>
  <si>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</si>
  <si>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</si>
  <si>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</si>
  <si>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</si>
  <si>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</si>
  <si>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Renewable based electricity-domestic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</si>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</sst>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64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9" fontId="8" fillId="17" borderId="0" xfId="24" applyFont="1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29</xdr:row>
      <xdr:rowOff>137160</xdr:rowOff>
    </xdr:from>
    <xdr:to>
      <xdr:col>15</xdr:col>
      <xdr:colOff>133299</xdr:colOff>
      <xdr:row>38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24</xdr:row>
      <xdr:rowOff>65943</xdr:rowOff>
    </xdr:from>
    <xdr:to>
      <xdr:col>16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2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2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2">
        <f>SUM(D48:J48)</f>
        <v>1</v>
      </c>
      <c r="L48" t="s">
        <v>171</v>
      </c>
    </row>
    <row r="49" spans="10:11" x14ac:dyDescent="0.25">
      <c r="J49" s="118"/>
      <c r="K49" s="122"/>
    </row>
    <row r="50" spans="10:11" x14ac:dyDescent="0.25">
      <c r="J50" s="118"/>
      <c r="K50" s="122"/>
    </row>
    <row r="51" spans="10:11" x14ac:dyDescent="0.25">
      <c r="J51" s="118"/>
      <c r="K51" s="122"/>
    </row>
    <row r="52" spans="10:11" x14ac:dyDescent="0.25">
      <c r="J52" s="118"/>
      <c r="K52" s="122"/>
    </row>
    <row r="53" spans="10:11" x14ac:dyDescent="0.25">
      <c r="J53" s="118"/>
      <c r="K53" s="122"/>
    </row>
    <row r="54" spans="10:11" x14ac:dyDescent="0.25">
      <c r="J54" s="118"/>
      <c r="K54" s="122"/>
    </row>
    <row r="55" spans="10:11" x14ac:dyDescent="0.25">
      <c r="J55" s="118"/>
      <c r="K55" s="122"/>
    </row>
    <row r="56" spans="10:11" x14ac:dyDescent="0.25">
      <c r="J56" s="118"/>
      <c r="K56" s="122"/>
    </row>
    <row r="57" spans="10:11" x14ac:dyDescent="0.25">
      <c r="J57" s="118"/>
      <c r="K57" s="122"/>
    </row>
    <row r="58" spans="10:11" x14ac:dyDescent="0.25">
      <c r="J58" s="118"/>
      <c r="K58" s="122"/>
    </row>
    <row r="59" spans="10:11" x14ac:dyDescent="0.25">
      <c r="J59" s="118"/>
      <c r="K59" s="122"/>
    </row>
    <row r="60" spans="10:11" x14ac:dyDescent="0.25">
      <c r="J60" s="118"/>
      <c r="K60" s="122"/>
    </row>
    <row r="61" spans="10:11" x14ac:dyDescent="0.25">
      <c r="J61" s="118"/>
      <c r="K61" s="122"/>
    </row>
    <row r="62" spans="10:11" x14ac:dyDescent="0.25">
      <c r="J62" s="118"/>
      <c r="K62" s="122"/>
    </row>
    <row r="63" spans="10:11" x14ac:dyDescent="0.25">
      <c r="J63" s="118"/>
      <c r="K63" s="122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3"/>
      <c r="E11" s="133">
        <f>'EBF TJ'!E11*0.2777778</f>
        <v>-2.0000001600000004</v>
      </c>
      <c r="F11" s="133">
        <f>'EBF TJ'!F11*0.2777778</f>
        <v>-16770.812452776001</v>
      </c>
      <c r="G11" s="133"/>
      <c r="H11" s="133"/>
      <c r="I11" s="133"/>
      <c r="J11" s="133"/>
      <c r="K11" s="133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3" customFormat="1" x14ac:dyDescent="0.25">
      <c r="B18" s="149" t="s">
        <v>133</v>
      </c>
      <c r="C18" s="150" t="s">
        <v>134</v>
      </c>
      <c r="D18" s="151">
        <f>'EBF TJ'!D18*0.2777778</f>
        <v>7676.2275585426005</v>
      </c>
      <c r="E18" s="151">
        <f>'EBF TJ'!E18*0.2777778</f>
        <v>2605.1202084096003</v>
      </c>
      <c r="F18" s="151">
        <f>'EBF TJ'!F18*0.2777778</f>
        <v>0</v>
      </c>
      <c r="G18" s="151">
        <f>'EBF TJ'!G18*0.2777778</f>
        <v>0</v>
      </c>
      <c r="H18" s="151">
        <f>'EBF TJ'!H18*0.2777778</f>
        <v>0</v>
      </c>
      <c r="I18" s="151">
        <f>'EBF TJ'!I18*0.2777778</f>
        <v>0</v>
      </c>
      <c r="J18" s="151">
        <f>'EBF TJ'!J18*0.2777778</f>
        <v>2861.5612011470998</v>
      </c>
      <c r="K18" s="152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2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2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2">
        <f>SUM(D48:J48)</f>
        <v>1</v>
      </c>
      <c r="L48" t="s">
        <v>171</v>
      </c>
    </row>
    <row r="49" spans="10:11" x14ac:dyDescent="0.25">
      <c r="J49" s="118"/>
      <c r="K49" s="122"/>
    </row>
    <row r="50" spans="10:11" x14ac:dyDescent="0.25">
      <c r="J50" s="118"/>
      <c r="K50" s="122"/>
    </row>
    <row r="51" spans="10:11" x14ac:dyDescent="0.25">
      <c r="J51" s="118"/>
      <c r="K51" s="122"/>
    </row>
    <row r="52" spans="10:11" x14ac:dyDescent="0.25">
      <c r="J52" s="118"/>
      <c r="K52" s="122"/>
    </row>
    <row r="53" spans="10:11" x14ac:dyDescent="0.25">
      <c r="J53" s="118"/>
      <c r="K53" s="122"/>
    </row>
    <row r="54" spans="10:11" x14ac:dyDescent="0.25">
      <c r="J54" s="118"/>
      <c r="K54" s="122"/>
    </row>
    <row r="55" spans="10:11" x14ac:dyDescent="0.25">
      <c r="J55" s="118"/>
      <c r="K55" s="122"/>
    </row>
    <row r="56" spans="10:11" x14ac:dyDescent="0.25">
      <c r="J56" s="118"/>
      <c r="K56" s="122"/>
    </row>
    <row r="57" spans="10:11" x14ac:dyDescent="0.25">
      <c r="J57" s="118"/>
      <c r="K57" s="122"/>
    </row>
    <row r="58" spans="10:11" x14ac:dyDescent="0.25">
      <c r="J58" s="118"/>
      <c r="K58" s="122"/>
    </row>
    <row r="59" spans="10:11" x14ac:dyDescent="0.25">
      <c r="J59" s="118"/>
      <c r="K59" s="122"/>
    </row>
    <row r="60" spans="10:11" x14ac:dyDescent="0.25">
      <c r="J60" s="118"/>
      <c r="K60" s="122"/>
    </row>
    <row r="61" spans="10:11" x14ac:dyDescent="0.25">
      <c r="J61" s="118"/>
      <c r="K61" s="122"/>
    </row>
    <row r="62" spans="10:11" x14ac:dyDescent="0.25">
      <c r="J62" s="118"/>
      <c r="K62" s="122"/>
    </row>
    <row r="63" spans="10:11" x14ac:dyDescent="0.25">
      <c r="J63" s="118"/>
      <c r="K63" s="122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35"/>
  <sheetViews>
    <sheetView zoomScale="96" zoomScaleNormal="96" workbookViewId="0">
      <selection activeCell="G25" sqref="G25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3" t="s">
        <v>269</v>
      </c>
      <c r="D4" s="1" t="s">
        <v>267</v>
      </c>
      <c r="E4" s="81" t="s">
        <v>167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"/>
      <c r="D5" s="1"/>
      <c r="E5" s="81"/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/>
    </row>
    <row r="6" spans="2:20" x14ac:dyDescent="0.25">
      <c r="C6" s="1"/>
      <c r="D6" s="1"/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/>
    </row>
    <row r="7" spans="2:20" x14ac:dyDescent="0.25">
      <c r="C7" t="s">
        <v>131</v>
      </c>
      <c r="D7" t="s">
        <v>124</v>
      </c>
      <c r="E7" t="s">
        <v>167</v>
      </c>
      <c r="G7" t="s">
        <v>125</v>
      </c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/>
    </row>
    <row r="8" spans="2:20" x14ac:dyDescent="0.25">
      <c r="L8" s="66" t="s">
        <v>74</v>
      </c>
      <c r="M8" s="70"/>
      <c r="N8" s="162" t="s">
        <v>46</v>
      </c>
      <c r="O8" s="66" t="s">
        <v>262</v>
      </c>
      <c r="P8" s="66" t="s">
        <v>167</v>
      </c>
      <c r="Q8" s="66" t="s">
        <v>180</v>
      </c>
      <c r="R8" s="66"/>
      <c r="S8" s="66"/>
      <c r="T8" s="66"/>
    </row>
    <row r="10" spans="2:20" x14ac:dyDescent="0.25">
      <c r="L10" s="66" t="s">
        <v>82</v>
      </c>
      <c r="M10" s="70"/>
      <c r="N10" s="66" t="s">
        <v>178</v>
      </c>
      <c r="O10" s="66" t="s">
        <v>259</v>
      </c>
      <c r="P10" s="66" t="s">
        <v>167</v>
      </c>
      <c r="Q10" s="66" t="s">
        <v>180</v>
      </c>
      <c r="R10" s="66"/>
      <c r="S10" s="66"/>
      <c r="T10" s="66"/>
    </row>
    <row r="11" spans="2:20" x14ac:dyDescent="0.25">
      <c r="L11" s="66" t="s">
        <v>82</v>
      </c>
      <c r="M11" s="70"/>
      <c r="N11" s="66" t="s">
        <v>173</v>
      </c>
      <c r="O11" s="66" t="s">
        <v>258</v>
      </c>
      <c r="P11" s="66" t="s">
        <v>167</v>
      </c>
      <c r="Q11" s="66" t="s">
        <v>180</v>
      </c>
      <c r="R11" s="66"/>
      <c r="S11" s="66"/>
      <c r="T11" s="66"/>
    </row>
    <row r="12" spans="2:20" x14ac:dyDescent="0.25">
      <c r="L12" s="66" t="s">
        <v>74</v>
      </c>
      <c r="M12" s="70"/>
      <c r="N12" s="66" t="s">
        <v>247</v>
      </c>
      <c r="O12" s="66" t="s">
        <v>254</v>
      </c>
      <c r="P12" s="66" t="s">
        <v>167</v>
      </c>
      <c r="Q12" s="66" t="s">
        <v>180</v>
      </c>
      <c r="R12" s="66"/>
      <c r="S12" s="66"/>
      <c r="T12" s="66"/>
    </row>
    <row r="13" spans="2:20" x14ac:dyDescent="0.25">
      <c r="L13" s="66" t="s">
        <v>82</v>
      </c>
      <c r="M13" s="70"/>
      <c r="N13" s="66" t="s">
        <v>255</v>
      </c>
      <c r="O13" s="66" t="s">
        <v>256</v>
      </c>
      <c r="P13" s="66" t="s">
        <v>167</v>
      </c>
      <c r="Q13" s="66" t="s">
        <v>180</v>
      </c>
      <c r="R13" s="66"/>
      <c r="S13" s="66"/>
      <c r="T13" s="66"/>
    </row>
    <row r="14" spans="2:20" x14ac:dyDescent="0.25">
      <c r="L14" s="66" t="s">
        <v>82</v>
      </c>
      <c r="M14" s="70"/>
      <c r="N14" s="66" t="s">
        <v>248</v>
      </c>
      <c r="O14" s="66" t="s">
        <v>257</v>
      </c>
      <c r="P14" s="66" t="s">
        <v>167</v>
      </c>
      <c r="Q14" s="66" t="s">
        <v>180</v>
      </c>
      <c r="R14" s="66"/>
      <c r="S14" s="66"/>
      <c r="T14" s="66"/>
    </row>
    <row r="15" spans="2:20" x14ac:dyDescent="0.25">
      <c r="L15" s="66"/>
      <c r="M15" s="70"/>
      <c r="N15" s="66"/>
      <c r="O15" s="66"/>
      <c r="P15" s="66"/>
      <c r="Q15" s="66"/>
      <c r="R15" s="66"/>
      <c r="S15" s="66"/>
      <c r="T15" s="66"/>
    </row>
    <row r="16" spans="2:20" x14ac:dyDescent="0.25">
      <c r="L16" s="1"/>
      <c r="N16" s="1"/>
      <c r="O16" s="1"/>
      <c r="P16" s="1"/>
      <c r="Q16" s="1"/>
      <c r="R16" s="1"/>
      <c r="S16" s="1"/>
      <c r="T16" s="1"/>
    </row>
    <row r="17" spans="2:20" x14ac:dyDescent="0.25">
      <c r="F17" s="3" t="s">
        <v>13</v>
      </c>
      <c r="H17" s="3"/>
      <c r="L17" s="65" t="s">
        <v>15</v>
      </c>
      <c r="M17" s="65"/>
      <c r="N17" s="70"/>
      <c r="O17" s="70"/>
      <c r="P17" s="70"/>
      <c r="Q17" s="70"/>
      <c r="R17" s="70"/>
      <c r="S17" s="70"/>
      <c r="T17" s="70"/>
    </row>
    <row r="18" spans="2:20" x14ac:dyDescent="0.25">
      <c r="B18" s="2" t="s">
        <v>1</v>
      </c>
      <c r="C18" s="10" t="s">
        <v>5</v>
      </c>
      <c r="D18" s="2" t="s">
        <v>6</v>
      </c>
      <c r="E18" s="2" t="s">
        <v>97</v>
      </c>
      <c r="F18" s="2" t="s">
        <v>8</v>
      </c>
      <c r="G18" s="64" t="s">
        <v>34</v>
      </c>
      <c r="H18" s="64" t="s">
        <v>35</v>
      </c>
      <c r="I18" s="64" t="s">
        <v>80</v>
      </c>
      <c r="J18" s="78" t="s">
        <v>168</v>
      </c>
      <c r="L18" s="67" t="s">
        <v>11</v>
      </c>
      <c r="M18" s="68" t="s">
        <v>30</v>
      </c>
      <c r="N18" s="67" t="s">
        <v>1</v>
      </c>
      <c r="O18" s="67" t="s">
        <v>2</v>
      </c>
      <c r="P18" s="67" t="s">
        <v>16</v>
      </c>
      <c r="Q18" s="67" t="s">
        <v>17</v>
      </c>
      <c r="R18" s="67" t="s">
        <v>18</v>
      </c>
      <c r="S18" s="67" t="s">
        <v>19</v>
      </c>
      <c r="T18" s="67" t="s">
        <v>20</v>
      </c>
    </row>
    <row r="19" spans="2:20" ht="21.6" thickBot="1" x14ac:dyDescent="0.3">
      <c r="B19" s="9" t="s">
        <v>39</v>
      </c>
      <c r="C19" s="9" t="s">
        <v>32</v>
      </c>
      <c r="D19" s="9" t="s">
        <v>33</v>
      </c>
      <c r="E19" s="9"/>
      <c r="F19" s="9"/>
      <c r="G19" s="9" t="s">
        <v>36</v>
      </c>
      <c r="H19" s="9" t="s">
        <v>89</v>
      </c>
      <c r="I19" s="9" t="s">
        <v>88</v>
      </c>
      <c r="J19" s="79" t="s">
        <v>169</v>
      </c>
      <c r="L19" s="69" t="s">
        <v>38</v>
      </c>
      <c r="M19" s="69" t="s">
        <v>31</v>
      </c>
      <c r="N19" s="69" t="s">
        <v>21</v>
      </c>
      <c r="O19" s="69" t="s">
        <v>22</v>
      </c>
      <c r="P19" s="69" t="s">
        <v>23</v>
      </c>
      <c r="Q19" s="69" t="s">
        <v>24</v>
      </c>
      <c r="R19" s="69" t="s">
        <v>43</v>
      </c>
      <c r="S19" s="69" t="s">
        <v>42</v>
      </c>
      <c r="T19" s="69" t="s">
        <v>25</v>
      </c>
    </row>
    <row r="20" spans="2:20" ht="21.6" thickBot="1" x14ac:dyDescent="0.3">
      <c r="B20" s="9" t="s">
        <v>87</v>
      </c>
      <c r="C20" s="8"/>
      <c r="D20" s="8"/>
      <c r="E20" s="8"/>
      <c r="F20" s="8"/>
      <c r="G20" s="8" t="str">
        <f>$E$2</f>
        <v>GWh</v>
      </c>
      <c r="H20" s="8" t="s">
        <v>243</v>
      </c>
      <c r="I20" s="8" t="str">
        <f>$E$2</f>
        <v>GWh</v>
      </c>
      <c r="J20" s="80"/>
      <c r="L20" s="69" t="s">
        <v>81</v>
      </c>
      <c r="M20" s="71"/>
      <c r="N20" s="71"/>
      <c r="O20" s="71"/>
      <c r="P20" s="71"/>
      <c r="Q20" s="71"/>
      <c r="R20" s="71"/>
      <c r="S20" s="71"/>
      <c r="T20" s="71"/>
    </row>
    <row r="21" spans="2:20" x14ac:dyDescent="0.25">
      <c r="B21" s="66" t="str">
        <f>N21</f>
        <v>MINCOA</v>
      </c>
      <c r="C21" s="1"/>
      <c r="D21" s="66" t="str">
        <f>N5</f>
        <v>MANCOALMIN</v>
      </c>
      <c r="E21" s="1">
        <v>2022</v>
      </c>
      <c r="F21" s="1" t="s">
        <v>103</v>
      </c>
      <c r="G21" s="48">
        <v>2673000</v>
      </c>
      <c r="H21" s="49">
        <v>4.5449999999999999</v>
      </c>
      <c r="I21" s="91">
        <f>EBF!D5</f>
        <v>4518.4003614720004</v>
      </c>
      <c r="J21" s="123">
        <v>8.76</v>
      </c>
      <c r="L21" s="66" t="str">
        <f>EBF!$B$5</f>
        <v>MIN</v>
      </c>
      <c r="M21" s="70"/>
      <c r="N21" s="70" t="str">
        <f>$L$21&amp;$C$2</f>
        <v>MINCOA</v>
      </c>
      <c r="O21" s="72" t="str">
        <f>"Domestic Supply of "&amp;$D$2&amp;" "</f>
        <v xml:space="preserve">Domestic Supply of Coal </v>
      </c>
      <c r="P21" s="70" t="s">
        <v>167</v>
      </c>
      <c r="Q21" s="70"/>
      <c r="R21" s="70"/>
      <c r="S21" s="70"/>
      <c r="T21" s="70"/>
    </row>
    <row r="22" spans="2:20" x14ac:dyDescent="0.25">
      <c r="B22" s="66" t="str">
        <f t="shared" ref="B22:B24" si="0">N22</f>
        <v>IMPCOA</v>
      </c>
      <c r="C22" s="1"/>
      <c r="D22" s="66" t="str">
        <f>N6</f>
        <v>MANCOALIMP</v>
      </c>
      <c r="E22" s="1">
        <v>2022</v>
      </c>
      <c r="F22" s="1" t="s">
        <v>103</v>
      </c>
      <c r="G22" s="62"/>
      <c r="H22" s="63">
        <v>21.004999999999999</v>
      </c>
      <c r="I22" s="92">
        <f>EBF!D6</f>
        <v>3157.6616415018002</v>
      </c>
      <c r="J22" s="123">
        <v>8.76</v>
      </c>
      <c r="L22" s="70" t="str">
        <f>EBF!$B$6</f>
        <v>IMP</v>
      </c>
      <c r="M22" s="70"/>
      <c r="N22" s="70" t="str">
        <f>$L$22&amp;$C$2</f>
        <v>IMPCOA</v>
      </c>
      <c r="O22" s="72" t="str">
        <f>"Import of "&amp;$D$2&amp;" "</f>
        <v xml:space="preserve">Import of Coal </v>
      </c>
      <c r="P22" s="70" t="s">
        <v>167</v>
      </c>
      <c r="Q22" s="70"/>
      <c r="R22" s="70"/>
      <c r="S22" s="70"/>
      <c r="T22" s="70"/>
    </row>
    <row r="23" spans="2:20" x14ac:dyDescent="0.25">
      <c r="B23" s="66" t="str">
        <f t="shared" si="0"/>
        <v>IMPOIL</v>
      </c>
      <c r="C23" s="1"/>
      <c r="D23" s="66" t="str">
        <f t="shared" ref="D23" si="1">N7</f>
        <v>MANOILIMP</v>
      </c>
      <c r="E23" s="1">
        <v>2022</v>
      </c>
      <c r="F23" s="1" t="s">
        <v>103</v>
      </c>
      <c r="H23" s="49">
        <v>29.234999999999999</v>
      </c>
      <c r="I23" s="92">
        <f>EBF!E18</f>
        <v>2605.1202084096003</v>
      </c>
      <c r="J23" s="123">
        <v>8.76</v>
      </c>
      <c r="L23" t="str">
        <f>EBF!B6</f>
        <v>IMP</v>
      </c>
      <c r="N23" s="70" t="str">
        <f>$L$23&amp;$C$3</f>
        <v>IMPOIL</v>
      </c>
      <c r="O23" s="72" t="str">
        <f>"Import of "&amp;$D$3&amp;" "</f>
        <v xml:space="preserve">Import of Oil </v>
      </c>
      <c r="P23" t="s">
        <v>167</v>
      </c>
    </row>
    <row r="24" spans="2:20" x14ac:dyDescent="0.25">
      <c r="B24" s="66" t="str">
        <f t="shared" si="0"/>
        <v>ELCGRID</v>
      </c>
      <c r="C24" s="70"/>
      <c r="D24" s="162" t="s">
        <v>46</v>
      </c>
      <c r="E24" s="1">
        <v>2022</v>
      </c>
      <c r="F24" s="1" t="s">
        <v>103</v>
      </c>
      <c r="H24" s="49">
        <v>100</v>
      </c>
      <c r="I24" s="92">
        <f>EBF!J18</f>
        <v>2861.5612011470998</v>
      </c>
      <c r="J24" s="123">
        <v>8.76</v>
      </c>
      <c r="L24" t="s">
        <v>46</v>
      </c>
      <c r="N24" s="70" t="str">
        <f>$L$24&amp;$C$4</f>
        <v>ELCGRID</v>
      </c>
      <c r="O24" s="72" t="s">
        <v>270</v>
      </c>
      <c r="P24" t="s">
        <v>167</v>
      </c>
    </row>
    <row r="25" spans="2:20" x14ac:dyDescent="0.25">
      <c r="B25" s="66"/>
      <c r="D25" s="66"/>
      <c r="E25" s="1"/>
      <c r="F25" s="1"/>
      <c r="H25" s="49"/>
      <c r="I25" s="92"/>
      <c r="J25" s="123"/>
      <c r="N25" s="70"/>
      <c r="O25" s="72"/>
    </row>
    <row r="26" spans="2:20" x14ac:dyDescent="0.25">
      <c r="B26" s="66"/>
      <c r="D26" s="66"/>
      <c r="E26" s="1"/>
      <c r="F26" s="1"/>
      <c r="H26" s="49"/>
      <c r="I26" s="92"/>
      <c r="J26" s="123"/>
      <c r="N26" s="70"/>
      <c r="O26" s="72"/>
    </row>
    <row r="27" spans="2:20" x14ac:dyDescent="0.25">
      <c r="B27" s="66" t="str">
        <f>N23</f>
        <v>IMPOIL</v>
      </c>
      <c r="D27" s="66" t="str">
        <f>N13</f>
        <v>CONMDRIVE</v>
      </c>
      <c r="E27" s="1">
        <v>2022</v>
      </c>
      <c r="F27" s="1"/>
      <c r="H27" s="49">
        <f>H23</f>
        <v>29.234999999999999</v>
      </c>
      <c r="I27" s="92">
        <f>EBF!E19</f>
        <v>8781.4640358504003</v>
      </c>
      <c r="J27" s="123">
        <v>8.76</v>
      </c>
      <c r="N27" s="70"/>
      <c r="O27" s="72"/>
    </row>
    <row r="28" spans="2:20" x14ac:dyDescent="0.25">
      <c r="B28" s="66" t="s">
        <v>266</v>
      </c>
      <c r="D28" s="66" t="str">
        <f>N14</f>
        <v>CONELC</v>
      </c>
      <c r="E28" s="1">
        <v>2022</v>
      </c>
      <c r="F28" s="1"/>
      <c r="H28" s="49">
        <f>H24</f>
        <v>100</v>
      </c>
      <c r="I28" s="92">
        <f>EBF!J19</f>
        <v>150.60848427090019</v>
      </c>
      <c r="J28" s="123">
        <v>8.76</v>
      </c>
      <c r="N28" s="70"/>
      <c r="O28" s="72"/>
    </row>
    <row r="30" spans="2:20" x14ac:dyDescent="0.25">
      <c r="B30" s="48"/>
      <c r="C30" s="1" t="s">
        <v>99</v>
      </c>
    </row>
    <row r="31" spans="2:20" x14ac:dyDescent="0.25">
      <c r="B31" s="47"/>
      <c r="C31" s="1" t="s">
        <v>100</v>
      </c>
    </row>
    <row r="33" spans="1:21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U34" s="1"/>
    </row>
    <row r="35" spans="1:21" x14ac:dyDescent="0.25">
      <c r="A35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0"/>
  <sheetViews>
    <sheetView tabSelected="1" topLeftCell="A2" zoomScale="118" zoomScaleNormal="118" workbookViewId="0">
      <selection activeCell="P18" sqref="P18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173</v>
      </c>
      <c r="Q6" s="95" t="s">
        <v>271</v>
      </c>
      <c r="R6" s="95" t="s">
        <v>167</v>
      </c>
      <c r="S6" s="95" t="s">
        <v>180</v>
      </c>
      <c r="T6" s="95"/>
      <c r="U6" s="95"/>
      <c r="V6" s="95"/>
    </row>
    <row r="7" spans="2:22" x14ac:dyDescent="0.25">
      <c r="N7" s="95" t="s">
        <v>155</v>
      </c>
      <c r="O7" s="95"/>
      <c r="P7" s="95" t="str">
        <f>$B$2&amp;EBF!C65</f>
        <v>MANCO2</v>
      </c>
      <c r="Q7" s="95" t="str">
        <f>$C$2&amp;" "&amp;EBF!C65</f>
        <v>Manufacturing CO2</v>
      </c>
      <c r="R7" s="95" t="str">
        <f>EBF!R2</f>
        <v>kt</v>
      </c>
      <c r="S7" s="95"/>
      <c r="T7" s="95"/>
      <c r="U7" s="95"/>
      <c r="V7" s="95"/>
    </row>
    <row r="8" spans="2:22" x14ac:dyDescent="0.25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5">
      <c r="N9" s="95" t="s">
        <v>82</v>
      </c>
      <c r="O9" s="95"/>
      <c r="P9" s="95" t="s">
        <v>248</v>
      </c>
      <c r="Q9" s="95" t="s">
        <v>250</v>
      </c>
      <c r="R9" s="95" t="s">
        <v>167</v>
      </c>
      <c r="S9" s="95" t="s">
        <v>180</v>
      </c>
      <c r="T9" s="95"/>
      <c r="U9" s="95"/>
      <c r="V9" s="95"/>
    </row>
    <row r="10" spans="2:22" x14ac:dyDescent="0.25">
      <c r="N10" s="95" t="s">
        <v>82</v>
      </c>
      <c r="O10" s="95"/>
      <c r="P10" s="95" t="s">
        <v>247</v>
      </c>
      <c r="Q10" s="95" t="s">
        <v>249</v>
      </c>
      <c r="R10" s="95" t="s">
        <v>167</v>
      </c>
      <c r="S10" s="95" t="s">
        <v>180</v>
      </c>
      <c r="T10" s="95"/>
      <c r="U10" s="95"/>
      <c r="V10" s="95"/>
    </row>
    <row r="12" spans="2:22" x14ac:dyDescent="0.25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5">
      <c r="B13" s="54" t="s">
        <v>1</v>
      </c>
      <c r="C13" s="54" t="s">
        <v>5</v>
      </c>
      <c r="D13" s="54" t="s">
        <v>6</v>
      </c>
      <c r="E13" s="100" t="s">
        <v>107</v>
      </c>
      <c r="F13" s="101" t="s">
        <v>156</v>
      </c>
      <c r="G13" s="100" t="s">
        <v>108</v>
      </c>
      <c r="H13" s="100" t="s">
        <v>109</v>
      </c>
      <c r="I13" s="100" t="s">
        <v>110</v>
      </c>
      <c r="J13" s="100" t="s">
        <v>181</v>
      </c>
      <c r="K13" s="102" t="s">
        <v>182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1.6" thickBot="1" x14ac:dyDescent="0.3">
      <c r="B14" s="103" t="s">
        <v>39</v>
      </c>
      <c r="C14" s="103" t="s">
        <v>32</v>
      </c>
      <c r="D14" s="103" t="s">
        <v>33</v>
      </c>
      <c r="E14" s="103" t="s">
        <v>111</v>
      </c>
      <c r="F14" s="103" t="s">
        <v>157</v>
      </c>
      <c r="G14" s="103" t="s">
        <v>112</v>
      </c>
      <c r="H14" s="104" t="s">
        <v>113</v>
      </c>
      <c r="I14" s="103" t="s">
        <v>121</v>
      </c>
      <c r="J14" s="103" t="s">
        <v>183</v>
      </c>
      <c r="K14" s="104" t="s">
        <v>184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8" thickBot="1" x14ac:dyDescent="0.3">
      <c r="B15" s="106" t="s">
        <v>87</v>
      </c>
      <c r="C15" s="106"/>
      <c r="D15" s="106"/>
      <c r="E15" s="107" t="s">
        <v>260</v>
      </c>
      <c r="F15" s="107"/>
      <c r="G15" s="107"/>
      <c r="H15" s="108"/>
      <c r="I15" s="107" t="s">
        <v>114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5">
      <c r="B16" s="93" t="str">
        <f>P$16</f>
        <v>Kiln</v>
      </c>
      <c r="C16" s="93" t="str">
        <f>Sector_Fuels!N5</f>
        <v>MANCOALMIN</v>
      </c>
      <c r="D16" s="95" t="str">
        <f>P5</f>
        <v>MANHEAT</v>
      </c>
      <c r="E16" s="113">
        <f>EBF!D5/(DemTechs_INDF!G16*DemTechs_INDF!F29)*1000</f>
        <v>937.81659640348698</v>
      </c>
      <c r="F16" s="110">
        <v>0.44</v>
      </c>
      <c r="G16" s="111">
        <v>0.55000000000000004</v>
      </c>
      <c r="H16" s="111">
        <v>0.9</v>
      </c>
      <c r="I16" s="138">
        <v>30</v>
      </c>
      <c r="J16" s="112">
        <v>144094</v>
      </c>
      <c r="K16" s="112"/>
      <c r="L16" s="112"/>
      <c r="M16" s="112"/>
      <c r="N16" s="93" t="s">
        <v>115</v>
      </c>
      <c r="P16" s="93" t="s">
        <v>158</v>
      </c>
      <c r="Q16" s="93" t="s">
        <v>261</v>
      </c>
      <c r="R16" s="95" t="str">
        <f>$E$2</f>
        <v>GWh</v>
      </c>
      <c r="S16" s="95" t="s">
        <v>159</v>
      </c>
      <c r="T16" s="95"/>
      <c r="U16" s="95"/>
      <c r="V16" s="95"/>
    </row>
    <row r="17" spans="2:22" x14ac:dyDescent="0.25">
      <c r="B17" s="93" t="str">
        <f>P$16</f>
        <v>Kiln</v>
      </c>
      <c r="C17" s="93" t="str">
        <f>Sector_Fuels!N6</f>
        <v>MANCOALIMP</v>
      </c>
      <c r="D17" s="95" t="str">
        <f>P5</f>
        <v>MANHEAT</v>
      </c>
      <c r="E17" s="113">
        <f>EBF!D6/(DemTechs_INDF!G17*DemTechs_INDF!F29)*1000</f>
        <v>655.38846855579084</v>
      </c>
      <c r="F17" s="110">
        <v>0.31</v>
      </c>
      <c r="G17" s="111">
        <v>0.55000000000000004</v>
      </c>
      <c r="H17" s="111">
        <v>0.9</v>
      </c>
      <c r="I17" s="138">
        <v>30</v>
      </c>
      <c r="J17" s="112">
        <v>144094</v>
      </c>
      <c r="K17" s="112"/>
      <c r="L17" s="112"/>
      <c r="M17" s="112"/>
      <c r="N17" s="93" t="s">
        <v>115</v>
      </c>
      <c r="P17" s="93" t="s">
        <v>160</v>
      </c>
      <c r="Q17" s="93" t="s">
        <v>161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Boiler</v>
      </c>
      <c r="C18" s="93" t="str">
        <f>Sector_Fuels!N7</f>
        <v>MANOILIMP</v>
      </c>
      <c r="D18" s="95" t="str">
        <f>P5</f>
        <v>MANHEAT</v>
      </c>
      <c r="E18" s="113">
        <f>EBF!E18/(DemTechs_INDF!G18*DemTechs_INDF!F29)*1000</f>
        <v>396.51753552657539</v>
      </c>
      <c r="F18" s="110">
        <v>0.25</v>
      </c>
      <c r="G18" s="111">
        <v>0.75</v>
      </c>
      <c r="H18" s="113">
        <v>0.9</v>
      </c>
      <c r="I18" s="112">
        <v>30</v>
      </c>
      <c r="J18" s="112">
        <v>60000</v>
      </c>
      <c r="K18" s="112"/>
      <c r="L18" s="112"/>
      <c r="N18" s="93" t="s">
        <v>115</v>
      </c>
      <c r="P18" s="93" t="s">
        <v>46</v>
      </c>
      <c r="Q18" s="93" t="s">
        <v>268</v>
      </c>
      <c r="R18" s="93" t="s">
        <v>167</v>
      </c>
      <c r="S18" s="93" t="s">
        <v>159</v>
      </c>
      <c r="T18" s="161" t="s">
        <v>275</v>
      </c>
    </row>
    <row r="19" spans="2:22" s="119" customFormat="1" x14ac:dyDescent="0.25">
      <c r="B19" s="93" t="str">
        <f>P$18</f>
        <v>ELC</v>
      </c>
      <c r="C19" s="93" t="str">
        <f>Sector_Fuels!N8</f>
        <v>ELC</v>
      </c>
      <c r="D19" s="95" t="str">
        <f>P6</f>
        <v>MANELC</v>
      </c>
      <c r="E19" s="113">
        <f>EBF!K18/(DemTechs_INDF!G19*DemTechs_INDF!F29)*1000</f>
        <v>1500.3320739839382</v>
      </c>
      <c r="F19" s="120">
        <v>1</v>
      </c>
      <c r="G19" s="119">
        <v>1</v>
      </c>
      <c r="H19" s="119">
        <v>1</v>
      </c>
      <c r="I19" s="119">
        <v>50</v>
      </c>
      <c r="J19" s="119">
        <v>0</v>
      </c>
    </row>
    <row r="20" spans="2:22" x14ac:dyDescent="0.25">
      <c r="F20" s="114"/>
    </row>
    <row r="21" spans="2:22" x14ac:dyDescent="0.25">
      <c r="F21" s="115"/>
      <c r="N21" s="93" t="s">
        <v>115</v>
      </c>
      <c r="P21" s="93" t="s">
        <v>46</v>
      </c>
      <c r="Q21" s="93" t="s">
        <v>268</v>
      </c>
      <c r="R21" s="95" t="str">
        <f t="shared" ref="R21" si="0">$E$2</f>
        <v>GWh</v>
      </c>
      <c r="S21" s="95" t="s">
        <v>159</v>
      </c>
      <c r="T21" s="161" t="s">
        <v>275</v>
      </c>
    </row>
    <row r="22" spans="2:22" x14ac:dyDescent="0.25">
      <c r="B22" s="93" t="s">
        <v>251</v>
      </c>
      <c r="C22" s="93" t="str">
        <f>Sector_Fuels!N13</f>
        <v>CONMDRIVE</v>
      </c>
      <c r="D22" s="93" t="str">
        <f>Sector_Fuels!N13</f>
        <v>CONMDRIVE</v>
      </c>
      <c r="F22" s="115">
        <v>1</v>
      </c>
      <c r="G22" s="93">
        <v>1</v>
      </c>
      <c r="N22" s="93" t="s">
        <v>115</v>
      </c>
      <c r="O22" s="119"/>
      <c r="P22" s="93" t="s">
        <v>251</v>
      </c>
      <c r="Q22" s="119" t="s">
        <v>252</v>
      </c>
      <c r="R22" s="121" t="s">
        <v>167</v>
      </c>
      <c r="S22" s="121" t="s">
        <v>159</v>
      </c>
    </row>
    <row r="23" spans="2:22" x14ac:dyDescent="0.25">
      <c r="B23" s="93" t="s">
        <v>85</v>
      </c>
      <c r="C23" s="93" t="str">
        <f>Sector_Fuels!N14</f>
        <v>CONELC</v>
      </c>
      <c r="D23" s="93" t="str">
        <f>Sector_Fuels!N14</f>
        <v>CONELC</v>
      </c>
      <c r="F23" s="115">
        <v>1</v>
      </c>
      <c r="G23" s="21">
        <v>1</v>
      </c>
      <c r="H23" s="116"/>
      <c r="N23" s="93" t="s">
        <v>115</v>
      </c>
      <c r="P23" s="93" t="s">
        <v>85</v>
      </c>
      <c r="Q23" s="93" t="s">
        <v>253</v>
      </c>
    </row>
    <row r="24" spans="2:22" x14ac:dyDescent="0.25">
      <c r="H24" s="116"/>
    </row>
    <row r="25" spans="2:22" x14ac:dyDescent="0.25">
      <c r="B25" s="112"/>
      <c r="C25" s="93" t="s">
        <v>99</v>
      </c>
      <c r="H25" s="116"/>
    </row>
    <row r="26" spans="2:22" x14ac:dyDescent="0.25">
      <c r="B26" s="117"/>
      <c r="C26" s="93" t="s">
        <v>100</v>
      </c>
      <c r="H26" s="116"/>
    </row>
    <row r="27" spans="2:22" x14ac:dyDescent="0.25">
      <c r="E27" s="93" t="s">
        <v>244</v>
      </c>
      <c r="F27" s="93" t="s">
        <v>246</v>
      </c>
      <c r="H27" s="116"/>
    </row>
    <row r="29" spans="2:22" x14ac:dyDescent="0.25">
      <c r="E29" s="93" t="s">
        <v>245</v>
      </c>
      <c r="F29" s="93">
        <f>24*365</f>
        <v>8760</v>
      </c>
    </row>
    <row r="30" spans="2:22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6" zoomScale="226" zoomScaleNormal="226" workbookViewId="0">
      <selection activeCell="H2" sqref="H2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6"/>
    </row>
    <row r="5" spans="2:18" x14ac:dyDescent="0.25">
      <c r="C5" s="125" t="s">
        <v>13</v>
      </c>
      <c r="D5" s="125"/>
      <c r="E5" s="1"/>
    </row>
    <row r="6" spans="2:18" x14ac:dyDescent="0.25">
      <c r="B6" s="124" t="s">
        <v>185</v>
      </c>
      <c r="C6" s="124" t="s">
        <v>0</v>
      </c>
      <c r="D6" s="124" t="s">
        <v>186</v>
      </c>
      <c r="E6" s="124">
        <v>2022</v>
      </c>
      <c r="F6" s="124">
        <v>2025</v>
      </c>
      <c r="G6" s="124">
        <v>2030</v>
      </c>
      <c r="H6" s="124">
        <v>2035</v>
      </c>
      <c r="I6" s="124">
        <v>2040</v>
      </c>
      <c r="J6" s="124">
        <v>2045</v>
      </c>
      <c r="K6" s="124">
        <v>2050</v>
      </c>
      <c r="L6" s="154"/>
      <c r="M6" s="157"/>
      <c r="N6" s="131"/>
      <c r="Q6" s="125" t="s">
        <v>13</v>
      </c>
      <c r="R6" s="1"/>
    </row>
    <row r="7" spans="2:18" ht="31.2" x14ac:dyDescent="0.25">
      <c r="B7" s="127" t="s">
        <v>81</v>
      </c>
      <c r="C7" s="127" t="s">
        <v>187</v>
      </c>
      <c r="D7" s="127" t="s">
        <v>188</v>
      </c>
      <c r="E7" s="127" t="s">
        <v>189</v>
      </c>
      <c r="F7" s="127" t="s">
        <v>189</v>
      </c>
      <c r="G7" s="127" t="s">
        <v>189</v>
      </c>
      <c r="H7" s="127" t="s">
        <v>189</v>
      </c>
      <c r="I7" s="127" t="s">
        <v>189</v>
      </c>
      <c r="J7" s="127" t="s">
        <v>189</v>
      </c>
      <c r="K7" s="127" t="s">
        <v>189</v>
      </c>
      <c r="L7" s="155"/>
      <c r="M7" s="157" t="s">
        <v>274</v>
      </c>
      <c r="N7" s="132"/>
      <c r="O7" s="124" t="s">
        <v>185</v>
      </c>
      <c r="P7" s="124" t="s">
        <v>0</v>
      </c>
      <c r="Q7" s="124" t="s">
        <v>191</v>
      </c>
      <c r="R7" s="124">
        <v>2022</v>
      </c>
    </row>
    <row r="8" spans="2:18" ht="21.6" thickBot="1" x14ac:dyDescent="0.3">
      <c r="B8" s="126" t="s">
        <v>87</v>
      </c>
      <c r="C8" s="126"/>
      <c r="D8" s="126"/>
      <c r="E8" s="126" t="s">
        <v>167</v>
      </c>
      <c r="F8" s="126" t="s">
        <v>167</v>
      </c>
      <c r="G8" s="126" t="s">
        <v>167</v>
      </c>
      <c r="H8" s="126" t="s">
        <v>167</v>
      </c>
      <c r="I8" s="126" t="s">
        <v>167</v>
      </c>
      <c r="J8" s="126" t="s">
        <v>167</v>
      </c>
      <c r="K8" s="126" t="s">
        <v>167</v>
      </c>
      <c r="L8" s="155"/>
      <c r="M8" s="157"/>
      <c r="N8" s="132"/>
      <c r="O8" s="134" t="s">
        <v>81</v>
      </c>
      <c r="P8" s="134" t="s">
        <v>187</v>
      </c>
      <c r="Q8" s="134"/>
      <c r="R8" s="134"/>
    </row>
    <row r="9" spans="2:18" ht="13.8" thickBot="1" x14ac:dyDescent="0.3">
      <c r="B9" s="128" t="s">
        <v>190</v>
      </c>
      <c r="C9" s="128" t="str">
        <f>DemTechs_INDF!P5</f>
        <v>MANHEAT</v>
      </c>
      <c r="D9" s="128" t="str">
        <f>E$2</f>
        <v>GWh</v>
      </c>
      <c r="E9" s="130">
        <f>EBF!D18+EBF!E18</f>
        <v>10281.3477669522</v>
      </c>
      <c r="F9" s="130">
        <f>$E$9*(1+$M$9)^(F6-$E$6)</f>
        <v>14405.897122659175</v>
      </c>
      <c r="G9" s="130">
        <f t="shared" ref="G9:K9" si="0">$E$9*(1+$M$9)^(G6-$E$6)</f>
        <v>25274.975404905261</v>
      </c>
      <c r="H9" s="130">
        <f t="shared" si="0"/>
        <v>44344.644160602315</v>
      </c>
      <c r="I9" s="130">
        <f t="shared" si="0"/>
        <v>77802.151504717243</v>
      </c>
      <c r="J9" s="130">
        <f t="shared" si="0"/>
        <v>136502.95076988969</v>
      </c>
      <c r="K9" s="130">
        <f t="shared" si="0"/>
        <v>239492.80589955384</v>
      </c>
      <c r="M9" s="159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8" t="s">
        <v>190</v>
      </c>
      <c r="C10" s="128" t="str">
        <f>DemTechs_INDF!P6</f>
        <v>MANELC</v>
      </c>
      <c r="D10" s="128" t="str">
        <f>E$2</f>
        <v>GWh</v>
      </c>
      <c r="E10" s="130">
        <f>EBF!J18</f>
        <v>2861.5612011470998</v>
      </c>
      <c r="F10" s="130">
        <f>$E$10*(1+$M$10)^(F6-$E$6)</f>
        <v>3350.6176459935423</v>
      </c>
      <c r="G10" s="130">
        <f t="shared" ref="G10:K10" si="1">$E$10*(1+$M$10)^(G6-$E$6)</f>
        <v>4358.4084284728824</v>
      </c>
      <c r="H10" s="130">
        <f t="shared" si="1"/>
        <v>5669.320118366044</v>
      </c>
      <c r="I10" s="130">
        <f t="shared" si="1"/>
        <v>7374.5246990933629</v>
      </c>
      <c r="J10" s="130">
        <f t="shared" si="1"/>
        <v>9592.6166457525742</v>
      </c>
      <c r="K10" s="130">
        <f t="shared" si="1"/>
        <v>12477.860996747662</v>
      </c>
      <c r="M10" s="160">
        <v>5.3999999999999999E-2</v>
      </c>
      <c r="O10" s="1" t="s">
        <v>192</v>
      </c>
      <c r="P10" s="1" t="str">
        <f>DemTechs_INDF!P$6</f>
        <v>MANELC</v>
      </c>
      <c r="Q10" s="93" t="s">
        <v>193</v>
      </c>
      <c r="R10" s="135">
        <v>0.75</v>
      </c>
    </row>
    <row r="11" spans="2:18" ht="13.8" thickBot="1" x14ac:dyDescent="0.3">
      <c r="B11" s="128"/>
      <c r="C11" s="128"/>
      <c r="D11" s="128"/>
      <c r="E11" s="130"/>
      <c r="F11" s="130"/>
      <c r="K11" s="5">
        <f>K9+K10</f>
        <v>251970.6668963015</v>
      </c>
      <c r="M11" s="158"/>
      <c r="O11" s="1" t="s">
        <v>192</v>
      </c>
      <c r="P11" s="1" t="str">
        <f>DemTechs_INDF!P$6</f>
        <v>MANELC</v>
      </c>
      <c r="Q11" s="93" t="s">
        <v>194</v>
      </c>
      <c r="R11" s="135">
        <v>0.25</v>
      </c>
    </row>
    <row r="12" spans="2:18" x14ac:dyDescent="0.25">
      <c r="B12" s="128"/>
      <c r="C12" s="128"/>
      <c r="D12" s="148" t="s">
        <v>272</v>
      </c>
      <c r="E12" s="147">
        <f>E10/(E$9+E$10)</f>
        <v>0.21772662415091906</v>
      </c>
      <c r="F12" s="147">
        <f>F10/(F$9+F$10)</f>
        <v>0.18869793366819429</v>
      </c>
      <c r="G12" s="147">
        <f t="shared" ref="G12:K12" si="2">G10/(G$9+G$10)</f>
        <v>0.14707764907913431</v>
      </c>
      <c r="H12" s="147">
        <f t="shared" si="2"/>
        <v>0.11335474402196269</v>
      </c>
      <c r="I12" s="147">
        <f t="shared" si="2"/>
        <v>8.6579155559529136E-2</v>
      </c>
      <c r="J12" s="147">
        <f t="shared" si="2"/>
        <v>6.5659874665886034E-2</v>
      </c>
      <c r="K12" s="147">
        <f t="shared" si="2"/>
        <v>4.9521085729724738E-2</v>
      </c>
      <c r="M12" s="158"/>
      <c r="N12" s="5"/>
      <c r="O12" s="1" t="s">
        <v>192</v>
      </c>
      <c r="P12" s="1" t="str">
        <f>DemTechs_INDF!P$6</f>
        <v>MANELC</v>
      </c>
      <c r="Q12" s="93" t="s">
        <v>195</v>
      </c>
      <c r="R12" s="135">
        <v>1.0416666666666666E-2</v>
      </c>
    </row>
    <row r="13" spans="2:18" x14ac:dyDescent="0.25">
      <c r="B13" s="1"/>
      <c r="D13" t="s">
        <v>273</v>
      </c>
      <c r="E13" s="147">
        <f>E9/(E$9+E$10)</f>
        <v>0.78227337584908085</v>
      </c>
      <c r="F13" s="147">
        <f>F9/(F$9+F$10)</f>
        <v>0.81130206633180579</v>
      </c>
      <c r="G13" s="147">
        <f t="shared" ref="G13:K13" si="3">G9/(G$9+G$10)</f>
        <v>0.85292235092086577</v>
      </c>
      <c r="H13" s="147">
        <f t="shared" si="3"/>
        <v>0.88664525597803734</v>
      </c>
      <c r="I13" s="147">
        <f t="shared" si="3"/>
        <v>0.91342084444047078</v>
      </c>
      <c r="J13" s="147">
        <f t="shared" si="3"/>
        <v>0.93434012533411404</v>
      </c>
      <c r="K13" s="147">
        <f t="shared" si="3"/>
        <v>0.95047891427027531</v>
      </c>
      <c r="M13" s="158"/>
      <c r="O13" s="1" t="s">
        <v>192</v>
      </c>
      <c r="P13" s="1" t="str">
        <f>DemTechs_INDF!P$6</f>
        <v>MANELC</v>
      </c>
      <c r="Q13" s="136" t="s">
        <v>196</v>
      </c>
      <c r="R13" s="137">
        <v>1.0416666666666666E-2</v>
      </c>
    </row>
    <row r="14" spans="2:18" x14ac:dyDescent="0.25">
      <c r="O14" s="1" t="s">
        <v>192</v>
      </c>
      <c r="P14" s="1" t="str">
        <f>DemTechs_INDF!P$6</f>
        <v>MANELC</v>
      </c>
      <c r="Q14" t="s">
        <v>197</v>
      </c>
      <c r="R14" s="135">
        <v>1.0416666666666666E-2</v>
      </c>
    </row>
    <row r="15" spans="2:18" x14ac:dyDescent="0.25">
      <c r="O15" s="1" t="s">
        <v>192</v>
      </c>
      <c r="P15" s="1" t="str">
        <f>DemTechs_INDF!P$6</f>
        <v>MANELC</v>
      </c>
      <c r="Q15" t="s">
        <v>198</v>
      </c>
      <c r="R15" s="135">
        <v>1.0416666666666666E-2</v>
      </c>
    </row>
    <row r="16" spans="2:18" x14ac:dyDescent="0.25">
      <c r="E16" s="5"/>
      <c r="O16" s="1" t="s">
        <v>192</v>
      </c>
      <c r="P16" s="1" t="str">
        <f>DemTechs_INDF!P$6</f>
        <v>MANELC</v>
      </c>
      <c r="Q16" t="s">
        <v>199</v>
      </c>
      <c r="R16" s="135">
        <v>1.0416666666666666E-2</v>
      </c>
    </row>
    <row r="17" spans="2:18" x14ac:dyDescent="0.25">
      <c r="O17" s="1" t="s">
        <v>192</v>
      </c>
      <c r="P17" s="1" t="str">
        <f>DemTechs_INDF!P$6</f>
        <v>MANELC</v>
      </c>
      <c r="Q17" t="s">
        <v>200</v>
      </c>
      <c r="R17" s="137">
        <v>1.0416666666666666E-2</v>
      </c>
    </row>
    <row r="18" spans="2:18" x14ac:dyDescent="0.25">
      <c r="O18" s="1" t="s">
        <v>192</v>
      </c>
      <c r="P18" s="1" t="str">
        <f>DemTechs_INDF!P$6</f>
        <v>MANELC</v>
      </c>
      <c r="Q18" t="s">
        <v>201</v>
      </c>
      <c r="R18" s="135">
        <v>1.0416666666666666E-2</v>
      </c>
    </row>
    <row r="19" spans="2:18" x14ac:dyDescent="0.25">
      <c r="B19" s="1" t="s">
        <v>190</v>
      </c>
      <c r="C19" t="str">
        <f>DemTechs_INDF!P9</f>
        <v>CONELC</v>
      </c>
      <c r="D19" t="s">
        <v>167</v>
      </c>
      <c r="E19" s="5">
        <f>EBF!J19</f>
        <v>150.60848427090019</v>
      </c>
      <c r="O19" s="1" t="s">
        <v>192</v>
      </c>
      <c r="P19" s="1" t="str">
        <f>DemTechs_INDF!P$6</f>
        <v>MANELC</v>
      </c>
      <c r="Q19" t="s">
        <v>202</v>
      </c>
      <c r="R19" s="135">
        <v>1.0416666666666666E-2</v>
      </c>
    </row>
    <row r="20" spans="2:18" x14ac:dyDescent="0.25">
      <c r="B20" s="1" t="s">
        <v>190</v>
      </c>
      <c r="C20" t="str">
        <f>DemTechs_INDF!P10</f>
        <v>CONOILIMP</v>
      </c>
      <c r="D20" t="s">
        <v>167</v>
      </c>
      <c r="E20" s="5">
        <f>EBF!E19</f>
        <v>8781.4640358504003</v>
      </c>
      <c r="O20" s="1" t="s">
        <v>192</v>
      </c>
      <c r="P20" s="1" t="str">
        <f>DemTechs_INDF!P$6</f>
        <v>MANELC</v>
      </c>
      <c r="Q20" t="s">
        <v>203</v>
      </c>
      <c r="R20" s="135">
        <v>1.0416666666666666E-2</v>
      </c>
    </row>
    <row r="21" spans="2:18" x14ac:dyDescent="0.25">
      <c r="O21" s="1" t="s">
        <v>192</v>
      </c>
      <c r="P21" s="1" t="str">
        <f>DemTechs_INDF!P$6</f>
        <v>MANELC</v>
      </c>
      <c r="Q21" t="s">
        <v>204</v>
      </c>
      <c r="R21" s="137">
        <v>1.0416666666666666E-2</v>
      </c>
    </row>
    <row r="22" spans="2:18" x14ac:dyDescent="0.25">
      <c r="B22" s="129"/>
      <c r="C22" s="1" t="s">
        <v>99</v>
      </c>
      <c r="O22" s="1" t="s">
        <v>192</v>
      </c>
      <c r="P22" s="1" t="str">
        <f>DemTechs_INDF!P$6</f>
        <v>MANELC</v>
      </c>
      <c r="Q22" t="s">
        <v>205</v>
      </c>
      <c r="R22" s="135">
        <v>1.0416666666666666E-2</v>
      </c>
    </row>
    <row r="23" spans="2:18" x14ac:dyDescent="0.25">
      <c r="B23" s="47"/>
      <c r="C23" s="1" t="s">
        <v>100</v>
      </c>
      <c r="O23" s="1" t="s">
        <v>192</v>
      </c>
      <c r="P23" s="1" t="str">
        <f>DemTechs_INDF!P$6</f>
        <v>MANELC</v>
      </c>
      <c r="Q23" t="s">
        <v>206</v>
      </c>
      <c r="R23" s="135">
        <v>1.0416666666666666E-2</v>
      </c>
    </row>
    <row r="24" spans="2:18" x14ac:dyDescent="0.25">
      <c r="O24" s="1" t="s">
        <v>192</v>
      </c>
      <c r="P24" s="1" t="str">
        <f>DemTechs_INDF!P$6</f>
        <v>MANELC</v>
      </c>
      <c r="Q24" t="s">
        <v>207</v>
      </c>
      <c r="R24" s="135">
        <v>1.0416666666666666E-2</v>
      </c>
    </row>
    <row r="25" spans="2:18" x14ac:dyDescent="0.25">
      <c r="O25" s="1" t="s">
        <v>192</v>
      </c>
      <c r="P25" s="1" t="str">
        <f>DemTechs_INDF!P$6</f>
        <v>MANELC</v>
      </c>
      <c r="Q25" t="s">
        <v>208</v>
      </c>
      <c r="R25" s="137">
        <v>1.0416666666666666E-2</v>
      </c>
    </row>
    <row r="26" spans="2:18" x14ac:dyDescent="0.25">
      <c r="O26" s="1" t="s">
        <v>192</v>
      </c>
      <c r="P26" s="1" t="str">
        <f>DemTechs_INDF!P$6</f>
        <v>MANELC</v>
      </c>
      <c r="Q26" t="s">
        <v>209</v>
      </c>
      <c r="R26" s="135">
        <v>1.0416666666666666E-2</v>
      </c>
    </row>
    <row r="27" spans="2:18" x14ac:dyDescent="0.25">
      <c r="O27" s="1" t="s">
        <v>192</v>
      </c>
      <c r="P27" s="1" t="str">
        <f>DemTechs_INDF!P$6</f>
        <v>MANELC</v>
      </c>
      <c r="Q27" t="s">
        <v>210</v>
      </c>
      <c r="R27" s="135">
        <v>1.0416666666666666E-2</v>
      </c>
    </row>
    <row r="28" spans="2:18" x14ac:dyDescent="0.25">
      <c r="O28" s="1" t="s">
        <v>192</v>
      </c>
      <c r="P28" s="1" t="str">
        <f>DemTechs_INDF!P$6</f>
        <v>MANELC</v>
      </c>
      <c r="Q28" t="s">
        <v>211</v>
      </c>
      <c r="R28" s="135">
        <v>1.0416666666666666E-2</v>
      </c>
    </row>
    <row r="29" spans="2:18" x14ac:dyDescent="0.25">
      <c r="O29" s="1" t="s">
        <v>192</v>
      </c>
      <c r="P29" s="1" t="str">
        <f>DemTechs_INDF!P$6</f>
        <v>MANELC</v>
      </c>
      <c r="Q29" t="s">
        <v>212</v>
      </c>
      <c r="R29" s="137">
        <v>1.0416666666666666E-2</v>
      </c>
    </row>
    <row r="30" spans="2:18" x14ac:dyDescent="0.25">
      <c r="O30" s="1" t="s">
        <v>192</v>
      </c>
      <c r="P30" s="1" t="str">
        <f>DemTechs_INDF!P$6</f>
        <v>MANELC</v>
      </c>
      <c r="Q30" t="s">
        <v>213</v>
      </c>
      <c r="R30" s="135">
        <v>1.0416666666666666E-2</v>
      </c>
    </row>
    <row r="31" spans="2:18" x14ac:dyDescent="0.25">
      <c r="O31" s="1" t="s">
        <v>192</v>
      </c>
      <c r="P31" s="1" t="str">
        <f>DemTechs_INDF!P$6</f>
        <v>MANELC</v>
      </c>
      <c r="Q31" t="s">
        <v>214</v>
      </c>
      <c r="R31" s="135">
        <v>1.0416666666666666E-2</v>
      </c>
    </row>
    <row r="32" spans="2:18" x14ac:dyDescent="0.25">
      <c r="O32" s="1" t="s">
        <v>192</v>
      </c>
      <c r="P32" s="1" t="str">
        <f>DemTechs_INDF!P$6</f>
        <v>MANELC</v>
      </c>
      <c r="Q32" t="s">
        <v>215</v>
      </c>
      <c r="R32" s="135">
        <v>1.0416666666666666E-2</v>
      </c>
    </row>
    <row r="33" spans="15:18" x14ac:dyDescent="0.25">
      <c r="O33" s="1" t="s">
        <v>192</v>
      </c>
      <c r="P33" s="1" t="str">
        <f>DemTechs_INDF!P$6</f>
        <v>MANELC</v>
      </c>
      <c r="Q33" t="s">
        <v>216</v>
      </c>
      <c r="R33" s="137">
        <v>1.0416666666666666E-2</v>
      </c>
    </row>
    <row r="34" spans="15:18" x14ac:dyDescent="0.25">
      <c r="O34" s="1" t="s">
        <v>192</v>
      </c>
      <c r="P34" s="1" t="str">
        <f>DemTechs_INDF!P$6</f>
        <v>MANELC</v>
      </c>
      <c r="Q34" t="s">
        <v>217</v>
      </c>
      <c r="R34" s="135">
        <v>1.0416666666666666E-2</v>
      </c>
    </row>
    <row r="35" spans="15:18" x14ac:dyDescent="0.25">
      <c r="O35" s="1" t="s">
        <v>192</v>
      </c>
      <c r="P35" s="1" t="str">
        <f>DemTechs_INDF!P$6</f>
        <v>MANELC</v>
      </c>
      <c r="Q35" t="s">
        <v>218</v>
      </c>
      <c r="R35" s="135">
        <v>1.0416666666666666E-2</v>
      </c>
    </row>
    <row r="36" spans="15:18" x14ac:dyDescent="0.25">
      <c r="O36" s="1" t="s">
        <v>192</v>
      </c>
      <c r="P36" s="1" t="str">
        <f>DemTechs_INDF!P$6</f>
        <v>MANELC</v>
      </c>
      <c r="Q36" t="s">
        <v>219</v>
      </c>
      <c r="R36" s="135">
        <v>3.125E-2</v>
      </c>
    </row>
    <row r="37" spans="15:18" x14ac:dyDescent="0.25">
      <c r="O37" s="1" t="s">
        <v>192</v>
      </c>
      <c r="P37" s="1" t="str">
        <f>DemTechs_INDF!P$6</f>
        <v>MANELC</v>
      </c>
      <c r="Q37" t="s">
        <v>220</v>
      </c>
      <c r="R37" s="137">
        <v>3.125E-2</v>
      </c>
    </row>
    <row r="38" spans="15:18" x14ac:dyDescent="0.25">
      <c r="O38" s="1" t="s">
        <v>192</v>
      </c>
      <c r="P38" s="1" t="str">
        <f>DemTechs_INDF!P$6</f>
        <v>MANELC</v>
      </c>
      <c r="Q38" t="s">
        <v>221</v>
      </c>
      <c r="R38" s="135">
        <v>3.125E-2</v>
      </c>
    </row>
    <row r="39" spans="15:18" x14ac:dyDescent="0.25">
      <c r="O39" s="1" t="s">
        <v>192</v>
      </c>
      <c r="P39" s="1" t="str">
        <f>DemTechs_INDF!P$6</f>
        <v>MANELC</v>
      </c>
      <c r="Q39" t="s">
        <v>222</v>
      </c>
      <c r="R39" s="135">
        <v>3.125E-2</v>
      </c>
    </row>
    <row r="40" spans="15:18" x14ac:dyDescent="0.25">
      <c r="O40" s="1" t="s">
        <v>192</v>
      </c>
      <c r="P40" s="1" t="str">
        <f>DemTechs_INDF!P$6</f>
        <v>MANELC</v>
      </c>
      <c r="Q40" t="s">
        <v>223</v>
      </c>
      <c r="R40" s="135">
        <v>3.125E-2</v>
      </c>
    </row>
    <row r="41" spans="15:18" x14ac:dyDescent="0.25">
      <c r="O41" s="1" t="s">
        <v>192</v>
      </c>
      <c r="P41" s="1" t="str">
        <f>DemTechs_INDF!P$6</f>
        <v>MANELC</v>
      </c>
      <c r="Q41" t="s">
        <v>224</v>
      </c>
      <c r="R41" s="137">
        <v>3.125E-2</v>
      </c>
    </row>
    <row r="42" spans="15:18" x14ac:dyDescent="0.25">
      <c r="O42" s="1" t="s">
        <v>192</v>
      </c>
      <c r="P42" s="1" t="str">
        <f>DemTechs_INDF!P$6</f>
        <v>MANELC</v>
      </c>
      <c r="Q42" t="s">
        <v>225</v>
      </c>
      <c r="R42" s="135">
        <v>3.125E-2</v>
      </c>
    </row>
    <row r="43" spans="15:18" x14ac:dyDescent="0.25">
      <c r="O43" s="1" t="s">
        <v>192</v>
      </c>
      <c r="P43" s="1" t="str">
        <f>DemTechs_INDF!P$6</f>
        <v>MANELC</v>
      </c>
      <c r="Q43" t="s">
        <v>226</v>
      </c>
      <c r="R43" s="135">
        <v>3.125E-2</v>
      </c>
    </row>
    <row r="44" spans="15:18" x14ac:dyDescent="0.25">
      <c r="O44" s="1" t="s">
        <v>192</v>
      </c>
      <c r="P44" s="1" t="str">
        <f>DemTechs_INDF!P$6</f>
        <v>MANELC</v>
      </c>
      <c r="Q44" t="s">
        <v>227</v>
      </c>
      <c r="R44" s="135">
        <v>3.125E-2</v>
      </c>
    </row>
    <row r="45" spans="15:18" x14ac:dyDescent="0.25">
      <c r="O45" s="1" t="s">
        <v>192</v>
      </c>
      <c r="P45" s="1" t="str">
        <f>DemTechs_INDF!P$6</f>
        <v>MANELC</v>
      </c>
      <c r="Q45" t="s">
        <v>228</v>
      </c>
      <c r="R45" s="137">
        <v>3.125E-2</v>
      </c>
    </row>
    <row r="46" spans="15:18" x14ac:dyDescent="0.25">
      <c r="O46" s="1" t="s">
        <v>192</v>
      </c>
      <c r="P46" s="1" t="str">
        <f>DemTechs_INDF!P$6</f>
        <v>MANELC</v>
      </c>
      <c r="Q46" t="s">
        <v>229</v>
      </c>
      <c r="R46" s="135">
        <v>3.125E-2</v>
      </c>
    </row>
    <row r="47" spans="15:18" x14ac:dyDescent="0.25">
      <c r="O47" s="1" t="s">
        <v>192</v>
      </c>
      <c r="P47" s="1" t="str">
        <f>DemTechs_INDF!P$6</f>
        <v>MANELC</v>
      </c>
      <c r="Q47" t="s">
        <v>230</v>
      </c>
      <c r="R47" s="135">
        <v>3.125E-2</v>
      </c>
    </row>
    <row r="48" spans="15:18" x14ac:dyDescent="0.25">
      <c r="O48" s="1" t="s">
        <v>192</v>
      </c>
      <c r="P48" s="1" t="str">
        <f>DemTechs_INDF!P$6</f>
        <v>MANELC</v>
      </c>
      <c r="Q48" t="s">
        <v>231</v>
      </c>
      <c r="R48" s="135">
        <v>3.125E-2</v>
      </c>
    </row>
    <row r="49" spans="15:18" x14ac:dyDescent="0.25">
      <c r="O49" s="1" t="s">
        <v>192</v>
      </c>
      <c r="P49" s="1" t="str">
        <f>DemTechs_INDF!P$6</f>
        <v>MANELC</v>
      </c>
      <c r="Q49" t="s">
        <v>232</v>
      </c>
      <c r="R49" s="137">
        <v>3.125E-2</v>
      </c>
    </row>
    <row r="50" spans="15:18" x14ac:dyDescent="0.25">
      <c r="O50" s="1" t="s">
        <v>192</v>
      </c>
      <c r="P50" s="1" t="str">
        <f>DemTechs_INDF!P$6</f>
        <v>MANELC</v>
      </c>
      <c r="Q50" t="s">
        <v>233</v>
      </c>
      <c r="R50" s="135">
        <v>3.125E-2</v>
      </c>
    </row>
    <row r="51" spans="15:18" x14ac:dyDescent="0.25">
      <c r="O51" s="1" t="s">
        <v>192</v>
      </c>
      <c r="P51" s="1" t="str">
        <f>DemTechs_INDF!P$6</f>
        <v>MANELC</v>
      </c>
      <c r="Q51" t="s">
        <v>234</v>
      </c>
      <c r="R51" s="135">
        <v>3.125E-2</v>
      </c>
    </row>
    <row r="52" spans="15:18" x14ac:dyDescent="0.25">
      <c r="O52" s="1" t="s">
        <v>192</v>
      </c>
      <c r="P52" s="1" t="str">
        <f>DemTechs_INDF!P$6</f>
        <v>MANELC</v>
      </c>
      <c r="Q52" t="s">
        <v>235</v>
      </c>
      <c r="R52" s="135">
        <v>3.125E-2</v>
      </c>
    </row>
    <row r="53" spans="15:18" x14ac:dyDescent="0.25">
      <c r="O53" s="1" t="s">
        <v>192</v>
      </c>
      <c r="P53" s="1" t="str">
        <f>DemTechs_INDF!P$6</f>
        <v>MANELC</v>
      </c>
      <c r="Q53" t="s">
        <v>236</v>
      </c>
      <c r="R53" s="137">
        <v>3.125E-2</v>
      </c>
    </row>
    <row r="54" spans="15:18" x14ac:dyDescent="0.25">
      <c r="O54" s="1" t="s">
        <v>192</v>
      </c>
      <c r="P54" s="1" t="str">
        <f>DemTechs_INDF!P$6</f>
        <v>MANELC</v>
      </c>
      <c r="Q54" t="s">
        <v>237</v>
      </c>
      <c r="R54" s="135">
        <v>3.125E-2</v>
      </c>
    </row>
    <row r="55" spans="15:18" x14ac:dyDescent="0.25">
      <c r="O55" s="1" t="s">
        <v>192</v>
      </c>
      <c r="P55" s="1" t="str">
        <f>DemTechs_INDF!P$6</f>
        <v>MANELC</v>
      </c>
      <c r="Q55" t="s">
        <v>238</v>
      </c>
      <c r="R55" s="135">
        <v>3.125E-2</v>
      </c>
    </row>
    <row r="56" spans="15:18" x14ac:dyDescent="0.25">
      <c r="O56" s="1" t="s">
        <v>192</v>
      </c>
      <c r="P56" s="1" t="str">
        <f>DemTechs_INDF!P$6</f>
        <v>MANELC</v>
      </c>
      <c r="Q56" t="s">
        <v>239</v>
      </c>
      <c r="R56" s="135">
        <v>3.125E-2</v>
      </c>
    </row>
    <row r="57" spans="15:18" x14ac:dyDescent="0.25">
      <c r="O57" s="1" t="s">
        <v>192</v>
      </c>
      <c r="P57" s="1" t="str">
        <f>DemTechs_INDF!P$6</f>
        <v>MANELC</v>
      </c>
      <c r="Q57" t="s">
        <v>240</v>
      </c>
      <c r="R57" s="137">
        <v>3.125E-2</v>
      </c>
    </row>
    <row r="58" spans="15:18" x14ac:dyDescent="0.25">
      <c r="O58" s="1" t="s">
        <v>192</v>
      </c>
      <c r="P58" s="1" t="str">
        <f>DemTechs_INDF!P$6</f>
        <v>MANELC</v>
      </c>
      <c r="Q58" t="s">
        <v>241</v>
      </c>
      <c r="R58" s="135">
        <v>3.125E-2</v>
      </c>
    </row>
    <row r="59" spans="15:18" x14ac:dyDescent="0.25">
      <c r="O59" s="1" t="s">
        <v>192</v>
      </c>
      <c r="P59" s="1" t="str">
        <f>DemTechs_INDF!P$6</f>
        <v>MANELC</v>
      </c>
      <c r="Q59" t="s">
        <v>242</v>
      </c>
      <c r="R59" s="135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9" t="s">
        <v>263</v>
      </c>
      <c r="C3" s="139"/>
      <c r="D3" s="139"/>
      <c r="E3" s="139"/>
      <c r="F3" s="139"/>
      <c r="G3" s="139"/>
      <c r="H3" s="139"/>
    </row>
    <row r="4" spans="2:9" ht="17.399999999999999" customHeight="1" x14ac:dyDescent="0.3">
      <c r="B4" s="140"/>
      <c r="C4" s="140"/>
      <c r="D4" s="140"/>
      <c r="E4" s="140"/>
      <c r="F4" s="140"/>
      <c r="G4" s="140"/>
    </row>
    <row r="5" spans="2:9" ht="17.399999999999999" x14ac:dyDescent="0.3">
      <c r="B5" s="141" t="s">
        <v>264</v>
      </c>
      <c r="C5" s="142"/>
    </row>
    <row r="6" spans="2:9" ht="13.8" thickBot="1" x14ac:dyDescent="0.3">
      <c r="B6" s="143" t="s">
        <v>0</v>
      </c>
      <c r="C6" s="143" t="str">
        <f>Sector_Fuels!N5</f>
        <v>MANCOALMIN</v>
      </c>
      <c r="D6" s="143" t="str">
        <f>Sector_Fuels!N6</f>
        <v>MANCOALIMP</v>
      </c>
      <c r="E6" s="143" t="str">
        <f>Sector_Fuels!N7</f>
        <v>MANOILIMP</v>
      </c>
      <c r="F6" s="143" t="str">
        <f>Sector_Fuels!N8</f>
        <v>ELC</v>
      </c>
      <c r="G6" s="143"/>
      <c r="H6" s="143"/>
      <c r="I6" s="1"/>
    </row>
    <row r="7" spans="2:9" ht="13.8" thickBot="1" x14ac:dyDescent="0.3">
      <c r="B7" s="144" t="s">
        <v>87</v>
      </c>
      <c r="C7" s="144" t="s">
        <v>265</v>
      </c>
      <c r="D7" s="144" t="s">
        <v>265</v>
      </c>
      <c r="E7" s="144" t="s">
        <v>265</v>
      </c>
      <c r="F7" s="144" t="s">
        <v>265</v>
      </c>
      <c r="G7" s="144"/>
      <c r="H7" s="144"/>
      <c r="I7" s="1"/>
    </row>
    <row r="8" spans="2:9" x14ac:dyDescent="0.25">
      <c r="B8" s="145" t="str">
        <f>DemTechs_INDF!P7</f>
        <v>MANCO2</v>
      </c>
      <c r="C8" s="146">
        <v>347494</v>
      </c>
      <c r="D8" s="146">
        <v>347494</v>
      </c>
      <c r="E8" s="146">
        <v>279515</v>
      </c>
      <c r="F8" s="146">
        <v>0</v>
      </c>
      <c r="G8" s="146"/>
      <c r="H8" s="146"/>
      <c r="I8" s="1"/>
    </row>
    <row r="23" spans="2:3" x14ac:dyDescent="0.25">
      <c r="B23" s="129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2025-10-21T07:52:22Z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