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IND001\INDIND\"/>
    </mc:Choice>
  </mc:AlternateContent>
  <xr:revisionPtr revIDLastSave="0" documentId="13_ncr:1_{2486AC10-7A98-481B-A7C3-7289E137556C}" xr6:coauthVersionLast="47" xr6:coauthVersionMax="47" xr10:uidLastSave="{00000000-0000-0000-0000-000000000000}"/>
  <bookViews>
    <workbookView xWindow="28680" yWindow="-120" windowWidth="29040" windowHeight="15720" tabRatio="890" activeTab="4" xr2:uid="{00000000-000D-0000-FFFF-FFFF00000000}"/>
  </bookViews>
  <sheets>
    <sheet name="EBF TJ" sheetId="144" r:id="rId1"/>
    <sheet name="EBF" sheetId="133" r:id="rId2"/>
    <sheet name="RES&amp;OBJ" sheetId="135" r:id="rId3"/>
    <sheet name="Sector_Fuels" sheetId="137" r:id="rId4"/>
    <sheet name="DemTechs_INDF" sheetId="143" r:id="rId5"/>
    <sheet name="Demands" sheetId="145" r:id="rId6"/>
    <sheet name="Emi" sheetId="146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37" l="1"/>
  <c r="D19" i="143"/>
  <c r="D18" i="143"/>
  <c r="D17" i="143"/>
  <c r="D16" i="143"/>
  <c r="E6" i="146"/>
  <c r="F6" i="146"/>
  <c r="D6" i="146"/>
  <c r="C6" i="146"/>
  <c r="I18" i="143"/>
  <c r="I17" i="143"/>
  <c r="H17" i="143"/>
  <c r="H18" i="143"/>
  <c r="C19" i="143"/>
  <c r="E14" i="145"/>
  <c r="E13" i="145"/>
  <c r="C14" i="145"/>
  <c r="C13" i="145"/>
  <c r="D23" i="143"/>
  <c r="D22" i="143"/>
  <c r="C23" i="143"/>
  <c r="C22" i="143"/>
  <c r="I28" i="137"/>
  <c r="I27" i="137"/>
  <c r="H28" i="137"/>
  <c r="H27" i="137"/>
  <c r="D28" i="137"/>
  <c r="D27" i="137"/>
  <c r="F29" i="143"/>
  <c r="E16" i="143" s="1"/>
  <c r="H16" i="143" l="1"/>
  <c r="E18" i="143"/>
  <c r="E19" i="143"/>
  <c r="E17" i="143"/>
  <c r="I16" i="143"/>
  <c r="D10" i="145" l="1"/>
  <c r="C10" i="145"/>
  <c r="E9" i="145"/>
  <c r="I24" i="137"/>
  <c r="I23" i="137"/>
  <c r="B19" i="143" l="1"/>
  <c r="B18" i="143"/>
  <c r="O23" i="137"/>
  <c r="F13" i="144"/>
  <c r="G13" i="144"/>
  <c r="H13" i="144"/>
  <c r="I13" i="144"/>
  <c r="K13" i="144" s="1"/>
  <c r="K11" i="144"/>
  <c r="K12" i="144"/>
  <c r="K10" i="144"/>
  <c r="H11" i="144"/>
  <c r="G11" i="144"/>
  <c r="J8" i="133"/>
  <c r="J11" i="144"/>
  <c r="T7" i="143"/>
  <c r="F2" i="143"/>
  <c r="E2" i="143"/>
  <c r="T17" i="143" s="1"/>
  <c r="C2" i="143"/>
  <c r="S7" i="143" s="1"/>
  <c r="B2" i="143"/>
  <c r="D9" i="145"/>
  <c r="G2" i="145"/>
  <c r="E2" i="145"/>
  <c r="G4" i="137"/>
  <c r="G3" i="137"/>
  <c r="C16" i="143"/>
  <c r="C18" i="143"/>
  <c r="D16" i="133"/>
  <c r="E16" i="133"/>
  <c r="F16" i="133"/>
  <c r="G16" i="133"/>
  <c r="H16" i="133"/>
  <c r="I16" i="133"/>
  <c r="J16" i="133"/>
  <c r="D17" i="133"/>
  <c r="E17" i="133"/>
  <c r="F17" i="133"/>
  <c r="G17" i="133"/>
  <c r="H17" i="133"/>
  <c r="I17" i="133"/>
  <c r="J17" i="133"/>
  <c r="D18" i="133"/>
  <c r="D46" i="133" s="1"/>
  <c r="K46" i="133" s="1"/>
  <c r="E18" i="133"/>
  <c r="E40" i="133" s="1"/>
  <c r="F18" i="133"/>
  <c r="G18" i="133"/>
  <c r="H18" i="133"/>
  <c r="I18" i="133"/>
  <c r="J18" i="133"/>
  <c r="D19" i="133"/>
  <c r="E19" i="133"/>
  <c r="F19" i="133"/>
  <c r="G19" i="133"/>
  <c r="H19" i="133"/>
  <c r="I19" i="133"/>
  <c r="J19" i="133"/>
  <c r="D20" i="133"/>
  <c r="E20" i="133"/>
  <c r="F20" i="133"/>
  <c r="G20" i="133"/>
  <c r="H20" i="133"/>
  <c r="I20" i="133"/>
  <c r="J20" i="133"/>
  <c r="D21" i="133"/>
  <c r="E21" i="133"/>
  <c r="F21" i="133"/>
  <c r="G21" i="133"/>
  <c r="H21" i="133"/>
  <c r="I21" i="133"/>
  <c r="J21" i="133"/>
  <c r="D22" i="133"/>
  <c r="E22" i="133"/>
  <c r="F22" i="133"/>
  <c r="G22" i="133"/>
  <c r="H22" i="133"/>
  <c r="I22" i="133"/>
  <c r="J22" i="133"/>
  <c r="E15" i="133"/>
  <c r="F15" i="133"/>
  <c r="G15" i="133"/>
  <c r="H15" i="133"/>
  <c r="I15" i="133"/>
  <c r="J15" i="133"/>
  <c r="D15" i="133"/>
  <c r="J10" i="133"/>
  <c r="F11" i="133"/>
  <c r="E11" i="133"/>
  <c r="F12" i="133"/>
  <c r="G12" i="133"/>
  <c r="H12" i="133"/>
  <c r="I12" i="133"/>
  <c r="J12" i="133"/>
  <c r="D12" i="133"/>
  <c r="J6" i="133"/>
  <c r="J7" i="133"/>
  <c r="E6" i="133"/>
  <c r="D6" i="133"/>
  <c r="D7" i="133"/>
  <c r="E5" i="133"/>
  <c r="F5" i="133"/>
  <c r="G5" i="133"/>
  <c r="H5" i="133"/>
  <c r="I5" i="133"/>
  <c r="J5" i="133"/>
  <c r="D5" i="133"/>
  <c r="K48" i="144"/>
  <c r="E47" i="144"/>
  <c r="K47" i="144" s="1"/>
  <c r="D46" i="144"/>
  <c r="K46" i="144" s="1"/>
  <c r="E40" i="144"/>
  <c r="D40" i="144"/>
  <c r="D39" i="144"/>
  <c r="D38" i="144"/>
  <c r="J25" i="144"/>
  <c r="I25" i="144"/>
  <c r="E25" i="144"/>
  <c r="K24" i="144"/>
  <c r="K23" i="144"/>
  <c r="K22" i="144"/>
  <c r="K21" i="144"/>
  <c r="K20" i="144"/>
  <c r="K19" i="144"/>
  <c r="K18" i="144"/>
  <c r="K16" i="144"/>
  <c r="K15" i="144"/>
  <c r="J13" i="144"/>
  <c r="I12" i="144"/>
  <c r="E12" i="144"/>
  <c r="E13" i="144" s="1"/>
  <c r="D13" i="144"/>
  <c r="I8" i="144"/>
  <c r="H8" i="144"/>
  <c r="G8" i="144"/>
  <c r="F8" i="144"/>
  <c r="F11" i="144" s="1"/>
  <c r="E8" i="144"/>
  <c r="D8" i="144"/>
  <c r="K6" i="144"/>
  <c r="J5" i="144"/>
  <c r="J8" i="144" s="1"/>
  <c r="D23" i="137"/>
  <c r="L23" i="137"/>
  <c r="N23" i="137" s="1"/>
  <c r="K48" i="133"/>
  <c r="I22" i="137"/>
  <c r="I21" i="137"/>
  <c r="D22" i="137"/>
  <c r="D21" i="137"/>
  <c r="B17" i="143"/>
  <c r="B16" i="143"/>
  <c r="C17" i="143"/>
  <c r="D2" i="143"/>
  <c r="B23" i="137" l="1"/>
  <c r="B27" i="137"/>
  <c r="R7" i="143"/>
  <c r="B8" i="146" s="1"/>
  <c r="C9" i="145"/>
  <c r="E12" i="133"/>
  <c r="D39" i="133"/>
  <c r="D40" i="133"/>
  <c r="D38" i="133"/>
  <c r="E47" i="133"/>
  <c r="K47" i="133" s="1"/>
  <c r="D25" i="144"/>
  <c r="K17" i="144"/>
  <c r="K25" i="144" s="1"/>
  <c r="K5" i="144"/>
  <c r="K8" i="144" s="1"/>
  <c r="T16" i="143"/>
  <c r="T21" i="143"/>
  <c r="I28" i="145" l="1"/>
  <c r="I44" i="145"/>
  <c r="I11" i="145"/>
  <c r="I14" i="145"/>
  <c r="I30" i="145"/>
  <c r="I13" i="145"/>
  <c r="I31" i="145"/>
  <c r="I47" i="145"/>
  <c r="I16" i="145"/>
  <c r="I48" i="145"/>
  <c r="I37" i="145"/>
  <c r="I22" i="145"/>
  <c r="I39" i="145"/>
  <c r="I24" i="145"/>
  <c r="I41" i="145"/>
  <c r="I26" i="145"/>
  <c r="I27" i="145"/>
  <c r="I29" i="145"/>
  <c r="I45" i="145"/>
  <c r="I12" i="145"/>
  <c r="I46" i="145"/>
  <c r="I15" i="145"/>
  <c r="I10" i="145"/>
  <c r="I32" i="145"/>
  <c r="I53" i="145"/>
  <c r="I54" i="145"/>
  <c r="I55" i="145"/>
  <c r="I40" i="145"/>
  <c r="I57" i="145"/>
  <c r="I58" i="145"/>
  <c r="I59" i="145"/>
  <c r="I17" i="145"/>
  <c r="I33" i="145"/>
  <c r="I49" i="145"/>
  <c r="I18" i="145"/>
  <c r="I34" i="145"/>
  <c r="I50" i="145"/>
  <c r="I19" i="145"/>
  <c r="I35" i="145"/>
  <c r="I51" i="145"/>
  <c r="I20" i="145"/>
  <c r="I36" i="145"/>
  <c r="I52" i="145"/>
  <c r="I21" i="145"/>
  <c r="I38" i="145"/>
  <c r="I23" i="145"/>
  <c r="I56" i="145"/>
  <c r="I25" i="145"/>
  <c r="I42" i="145"/>
  <c r="I43" i="145"/>
  <c r="I8" i="133"/>
  <c r="H8" i="133"/>
  <c r="G8" i="133"/>
  <c r="L22" i="137"/>
  <c r="L21" i="137"/>
  <c r="G2" i="137"/>
  <c r="D2" i="137"/>
  <c r="O21" i="137" s="1"/>
  <c r="C2" i="137"/>
  <c r="I20" i="137" l="1"/>
  <c r="G20" i="137"/>
  <c r="N21" i="137"/>
  <c r="B21" i="137" s="1"/>
  <c r="N22" i="137"/>
  <c r="B22" i="137" s="1"/>
  <c r="O22" i="137"/>
  <c r="E8" i="133" l="1"/>
  <c r="F8" i="133"/>
  <c r="K20" i="133"/>
  <c r="K21" i="133"/>
  <c r="K22" i="133"/>
  <c r="K23" i="133"/>
  <c r="K24" i="133"/>
  <c r="K18" i="133"/>
  <c r="K19" i="133"/>
  <c r="K16" i="133"/>
  <c r="K15" i="133"/>
  <c r="I25" i="133"/>
  <c r="J13" i="133" l="1"/>
  <c r="K6" i="133"/>
  <c r="K5" i="133"/>
  <c r="J25" i="133"/>
  <c r="D8" i="133"/>
  <c r="K8" i="133" l="1"/>
  <c r="D13" i="133"/>
  <c r="D25" i="133"/>
  <c r="E25" i="133"/>
  <c r="E13" i="133"/>
  <c r="K13" i="133"/>
  <c r="K17" i="133" l="1"/>
  <c r="K25" i="1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6B2A075A-EF9A-4D60-B16C-911417EFF6E8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DC68F520-FC17-44E7-94B5-176A4E5EB40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2FACE5EC-0313-48DC-8195-4F64CBA31B41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8403344B-D8B8-4AB0-84F8-13898FD9B2E9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4F53D4B0-E12F-4201-AC6C-884D7A9E5655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18" authorId="2" shapeId="0" xr:uid="{CC8E5D4E-1B3A-43C8-A112-A6697F95B4CC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R18" authorId="2" shapeId="0" xr:uid="{B82C1148-4753-4923-93C2-C67B5D40F34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18" authorId="1" shapeId="0" xr:uid="{968CFA1B-C5E9-492D-A0A2-485C997CC98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18" authorId="2" shapeId="0" xr:uid="{A0615139-A259-4F4D-937C-E8C54FC43716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9" authorId="2" shapeId="0" xr:uid="{028E65FC-6C67-4206-97D8-90E7E85C9E5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P3" authorId="0" shapeId="0" xr:uid="{2A0D7E80-5B80-433D-8263-BA3B897C06A1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U3" authorId="1" shapeId="0" xr:uid="{43B8DB13-97B8-4A90-8E0C-84FAE4CBD2EE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V3" authorId="2" shapeId="0" xr:uid="{2086376C-E954-4E0A-86A9-0D188820E5D4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3" authorId="2" shapeId="0" xr:uid="{C18132A6-0DCC-46ED-9E3E-6E9D416748A3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X3" authorId="2" shapeId="0" xr:uid="{EFF6FA36-E1C1-4FF3-A44F-72D97BD59DA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V13" authorId="2" shapeId="0" xr:uid="{B8BF4189-7AEB-4804-8932-33CB73FCE7E5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13" authorId="1" shapeId="0" xr:uid="{5D6B271C-ECB1-4F2A-B44A-CFC55CCC04E5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X13" authorId="2" shapeId="0" xr:uid="{2D72E718-CBF9-42D3-993C-F0AD66976F32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P14" authorId="2" shapeId="0" xr:uid="{0B963EA5-F116-4DDE-B632-C6029837D6F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<sst xmlns="http://schemas.openxmlformats.org/spreadsheetml/2006/main" count="615" uniqueCount="274">
  <si>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</si>
  <si>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</si>
  <si>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</si>
  <si>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</si>
  <si>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</si>
  <si>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</si>
  <si>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</si>
  <si>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</si>
  <si>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</si>
  <si>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</si>
  <si>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</si>
  <si>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</si>
  <si>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</si>
  <si>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</si>
  <si>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</si>
  <si>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</si>
  <si>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</si>
  <si>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</si>
  <si>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</si>
  <si>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</si>
  <si>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</si>
  <si>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</si>
  <si>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</si>
  <si>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</si>
  <si>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</si>
  <si>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</si>
  <si>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</si>
  <si>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</si>
  <si>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</si>
  <si>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</si>
  <si>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</si>
  <si>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</si>
  <si>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</si>
  <si>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</si>
  <si>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</si>
  <si>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</si>
  <si>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</si>
  <si>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</si>
  <si>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</si>
  <si>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</si>
  <si>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</si>
  <si>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</si>
  <si>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</si>
  <si>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</si>
  <si>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</si>
  <si>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</si>
  <si>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</si>
  <si>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Solid Fuels</t>
  </si>
  <si>
    <t>Total</t>
  </si>
  <si>
    <t>PRIMARY</t>
  </si>
  <si>
    <t>MIN</t>
  </si>
  <si>
    <t>Domestic Supply</t>
  </si>
  <si>
    <t>IMP</t>
  </si>
  <si>
    <t>Imports</t>
  </si>
  <si>
    <t>CONVERSION</t>
  </si>
  <si>
    <t>ESC</t>
  </si>
  <si>
    <t>Energy Sector Consumption</t>
  </si>
  <si>
    <t>Electricity Plants</t>
  </si>
  <si>
    <t>HPL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</si>
  <si>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</si>
  <si>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</si>
  <si>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</si>
  <si>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</si>
  <si>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</si>
  <si>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</si>
  <si>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</si>
  <si>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</si>
  <si>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</si>
  <si>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</si>
  <si>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</si>
  <si>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</si>
  <si>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</si>
  <si>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</si>
  <si>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</si>
  <si>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</si>
  <si>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</si>
  <si>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</si>
  <si>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</si>
  <si>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Default Unit</t>
  </si>
  <si>
    <t>Currency Unit</t>
  </si>
  <si>
    <t>ACT_BND</t>
  </si>
  <si>
    <t>*</t>
  </si>
  <si>
    <t>DEM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</si>
  <si>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</si>
  <si>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</si>
  <si>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</si>
  <si>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</si>
  <si>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</si>
  <si>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</si>
  <si>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</si>
  <si>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</si>
  <si>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</si>
  <si>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</si>
  <si>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Emissions</t>
  </si>
  <si>
    <t>kt</t>
  </si>
  <si>
    <t>Domestic Supply Curve Share - Step 1</t>
  </si>
  <si>
    <t>Domestic Supply Curve Share - Step 2</t>
  </si>
  <si>
    <t>Year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</si>
  <si>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</si>
  <si>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</si>
  <si>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</si>
  <si>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</si>
  <si>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</si>
  <si>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UP</t>
  </si>
  <si>
    <t>Type</t>
  </si>
  <si>
    <t>Existing</t>
  </si>
  <si>
    <t>E</t>
  </si>
  <si>
    <t>STOCK</t>
  </si>
  <si>
    <t>EFF</t>
  </si>
  <si>
    <t>AFA</t>
  </si>
  <si>
    <t>LIFE</t>
  </si>
  <si>
    <t>Existing Installed Capacity</t>
  </si>
  <si>
    <t>Efficiency</t>
  </si>
  <si>
    <t>Utilisation Factor</t>
  </si>
  <si>
    <t>Years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</si>
  <si>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</si>
  <si>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</si>
  <si>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</si>
  <si>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</si>
  <si>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</si>
  <si>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Run name: DemoS_001</t>
  </si>
  <si>
    <t>Lifetime</t>
  </si>
  <si>
    <t>Objective Function by Scenario</t>
  </si>
  <si>
    <t>_SysCost VEDA-BE table</t>
  </si>
  <si>
    <t>Biomass</t>
  </si>
  <si>
    <t>TH$2022</t>
  </si>
  <si>
    <t>TJ</t>
  </si>
  <si>
    <t xml:space="preserve"> Oil</t>
  </si>
  <si>
    <t>EXP</t>
  </si>
  <si>
    <t>HYD</t>
  </si>
  <si>
    <t>Hydopower</t>
  </si>
  <si>
    <t>BIO</t>
  </si>
  <si>
    <t>Exports</t>
  </si>
  <si>
    <t>MAN</t>
  </si>
  <si>
    <t>Manufacturing</t>
  </si>
  <si>
    <t>CON</t>
  </si>
  <si>
    <t>Construction</t>
  </si>
  <si>
    <t xml:space="preserve">Agriculture </t>
  </si>
  <si>
    <t>Heat Plants and other transformations</t>
  </si>
  <si>
    <t>SOL</t>
  </si>
  <si>
    <t>WIN</t>
  </si>
  <si>
    <t>Solar</t>
  </si>
  <si>
    <t>Wind</t>
  </si>
  <si>
    <t>Break/out by end-use</t>
  </si>
  <si>
    <t>Sector</t>
  </si>
  <si>
    <t>DM1</t>
  </si>
  <si>
    <t>Emission by sector</t>
  </si>
  <si>
    <t>CO2</t>
  </si>
  <si>
    <t>Nox</t>
  </si>
  <si>
    <t>VOC</t>
  </si>
  <si>
    <t>Carbon dioxide</t>
  </si>
  <si>
    <t>NOX</t>
  </si>
  <si>
    <t>Demand1</t>
  </si>
  <si>
    <t>MANCOALMIN</t>
  </si>
  <si>
    <t>MANCOALIMP</t>
  </si>
  <si>
    <t>ENV</t>
  </si>
  <si>
    <t>Relaxation factor</t>
  </si>
  <si>
    <t>Share-I~UP</t>
  </si>
  <si>
    <t>Share-I~2030~UP</t>
  </si>
  <si>
    <t>Input Share</t>
  </si>
  <si>
    <t>Kiln</t>
  </si>
  <si>
    <t>MW</t>
  </si>
  <si>
    <t>Boiler</t>
  </si>
  <si>
    <t>Oil to heat transformation technology</t>
  </si>
  <si>
    <t>Oil</t>
  </si>
  <si>
    <t xml:space="preserve">Manufacturing sector </t>
  </si>
  <si>
    <t>Toal</t>
  </si>
  <si>
    <t>DM2</t>
  </si>
  <si>
    <t>Demand2</t>
  </si>
  <si>
    <t>GWh</t>
  </si>
  <si>
    <t>CAP2ACT</t>
  </si>
  <si>
    <t>conversion factor from cap to act</t>
  </si>
  <si>
    <t>DM3</t>
  </si>
  <si>
    <t>Demand3</t>
  </si>
  <si>
    <t>MANOILIMP</t>
  </si>
  <si>
    <t>MANELC</t>
  </si>
  <si>
    <t>Manufacturing coal-domestic</t>
  </si>
  <si>
    <t>Manufacturing coal-imported</t>
  </si>
  <si>
    <t>Manufacturing oil-imported</t>
  </si>
  <si>
    <t>Coal</t>
  </si>
  <si>
    <t>MANHEAT</t>
  </si>
  <si>
    <t>Manufacturing Heat</t>
  </si>
  <si>
    <t>Manufacturing Electricity</t>
  </si>
  <si>
    <t>LO</t>
  </si>
  <si>
    <t>HTHEAT</t>
  </si>
  <si>
    <t>INVCOST</t>
  </si>
  <si>
    <t>FIXOM</t>
  </si>
  <si>
    <t>Inestment Cost</t>
  </si>
  <si>
    <t>Fixed O&amp;M Cost</t>
  </si>
  <si>
    <t>Attribute</t>
  </si>
  <si>
    <t>*Unit</t>
  </si>
  <si>
    <t>Demand Commodity Name</t>
  </si>
  <si>
    <t>Demand Unit</t>
  </si>
  <si>
    <t>Demand Value</t>
  </si>
  <si>
    <t>Demand</t>
  </si>
  <si>
    <t>Timeslices</t>
  </si>
  <si>
    <t>COM_FR</t>
  </si>
  <si>
    <t>D</t>
  </si>
  <si>
    <t>W</t>
  </si>
  <si>
    <t>W_01</t>
  </si>
  <si>
    <t>W_02</t>
  </si>
  <si>
    <t>W_03</t>
  </si>
  <si>
    <t>W_04</t>
  </si>
  <si>
    <t>W_05</t>
  </si>
  <si>
    <t>W_06</t>
  </si>
  <si>
    <t>W_07</t>
  </si>
  <si>
    <t>W_08</t>
  </si>
  <si>
    <t>W_09</t>
  </si>
  <si>
    <t>W_10</t>
  </si>
  <si>
    <t>W_11</t>
  </si>
  <si>
    <t>W_12</t>
  </si>
  <si>
    <t>W_13</t>
  </si>
  <si>
    <t>W_14</t>
  </si>
  <si>
    <t>W_15</t>
  </si>
  <si>
    <t>W_16</t>
  </si>
  <si>
    <t>W_17</t>
  </si>
  <si>
    <t>W_18</t>
  </si>
  <si>
    <t>W_19</t>
  </si>
  <si>
    <t>W_20</t>
  </si>
  <si>
    <t>W_21</t>
  </si>
  <si>
    <t>W_22</t>
  </si>
  <si>
    <t>W_23</t>
  </si>
  <si>
    <t>W_24</t>
  </si>
  <si>
    <t>D_01</t>
  </si>
  <si>
    <t>D_02</t>
  </si>
  <si>
    <t>D_03</t>
  </si>
  <si>
    <t>D_04</t>
  </si>
  <si>
    <t>D_05</t>
  </si>
  <si>
    <t>D_06</t>
  </si>
  <si>
    <t>D_07</t>
  </si>
  <si>
    <t>D_08</t>
  </si>
  <si>
    <t>D_09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</si>
  <si>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</si>
  <si>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</si>
  <si>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</si>
  <si>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</si>
  <si>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</si>
  <si>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</si>
  <si>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</si>
  <si>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</si>
  <si>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</si>
  <si>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</si>
  <si>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</si>
  <si>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</si>
  <si>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</si>
  <si>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</si>
  <si>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</si>
  <si>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TH2022USD/GWh</t>
  </si>
  <si>
    <t>GW per annum</t>
  </si>
  <si>
    <t>Annual operating hours</t>
  </si>
  <si>
    <t>Annual energy consumption devided by the product of annual hours*effficiency</t>
  </si>
  <si>
    <t>CONOILIMP</t>
  </si>
  <si>
    <t>CONELC</t>
  </si>
  <si>
    <t>Construction oil</t>
  </si>
  <si>
    <t>Construction Electricity</t>
  </si>
  <si>
    <t>ICI</t>
  </si>
  <si>
    <t>Internal combustion engine</t>
  </si>
  <si>
    <t>Electricity for machine drive</t>
  </si>
  <si>
    <t>Construction oil-imported</t>
  </si>
  <si>
    <t>CONMDRIVE</t>
  </si>
  <si>
    <t>Construction machine drive</t>
  </si>
  <si>
    <t>Construction  electricity</t>
  </si>
  <si>
    <t>Manufacturing electricity</t>
  </si>
  <si>
    <t>Manufacturing heat</t>
  </si>
  <si>
    <t>MWa</t>
  </si>
  <si>
    <t>Coal to heat transformation technology</t>
  </si>
  <si>
    <t>Share-I~2052~UP</t>
  </si>
  <si>
    <t>Renewable based electricity-domestic</t>
  </si>
  <si>
    <t>Dynamic coefficients for combustion emissions in transport</t>
  </si>
  <si>
    <t>~COMEMI</t>
  </si>
  <si>
    <t>kt/GWh</t>
  </si>
  <si>
    <t>GRIDELC</t>
  </si>
  <si>
    <t>GRID Electricity</t>
  </si>
  <si>
    <t>Manufacturing  Electricity for machine drive and other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</si>
</sst>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\Te\x\t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8"/>
      <name val="Arial"/>
    </font>
    <font>
      <sz val="14"/>
      <color indexed="9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4">
    <xf numFmtId="0" fontId="0" fillId="0" borderId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10" applyNumberFormat="0" applyAlignment="0" applyProtection="0"/>
    <xf numFmtId="164" fontId="15" fillId="0" borderId="0" applyFont="0" applyFill="0" applyBorder="0" applyAlignment="0" applyProtection="0"/>
    <xf numFmtId="0" fontId="18" fillId="7" borderId="0" applyNumberFormat="0" applyBorder="0" applyAlignment="0" applyProtection="0"/>
    <xf numFmtId="0" fontId="19" fillId="8" borderId="10" applyNumberFormat="0" applyAlignment="0" applyProtection="0"/>
    <xf numFmtId="0" fontId="20" fillId="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6" fillId="0" borderId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8" fillId="0" borderId="0"/>
    <xf numFmtId="0" fontId="4" fillId="3" borderId="0" applyNumberFormat="0" applyBorder="0" applyAlignment="0" applyProtection="0"/>
    <xf numFmtId="9" fontId="5" fillId="0" borderId="0" applyFont="0" applyFill="0" applyBorder="0" applyAlignment="0" applyProtection="0"/>
    <xf numFmtId="0" fontId="3" fillId="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</cellStyleXfs>
  <cellXfs count="153">
    <xf numFmtId="0" fontId="0" fillId="0" borderId="0" xfId="0"/>
    <xf numFmtId="0" fontId="8" fillId="0" borderId="0" xfId="0" applyFont="1"/>
    <xf numFmtId="0" fontId="7" fillId="2" borderId="1" xfId="0" applyFont="1" applyFill="1" applyBorder="1" applyAlignment="1">
      <alignment horizontal="left"/>
    </xf>
    <xf numFmtId="0" fontId="9" fillId="0" borderId="0" xfId="11" applyFont="1" applyAlignment="1">
      <alignment horizontal="left"/>
    </xf>
    <xf numFmtId="0" fontId="0" fillId="0" borderId="2" xfId="0" applyBorder="1"/>
    <xf numFmtId="1" fontId="0" fillId="0" borderId="0" xfId="0" applyNumberFormat="1"/>
    <xf numFmtId="0" fontId="16" fillId="5" borderId="0" xfId="3"/>
    <xf numFmtId="0" fontId="21" fillId="10" borderId="0" xfId="6" applyFont="1" applyFill="1"/>
    <xf numFmtId="0" fontId="22" fillId="3" borderId="3" xfId="1" applyFont="1" applyBorder="1" applyAlignment="1">
      <alignment horizontal="center" wrapText="1"/>
    </xf>
    <xf numFmtId="0" fontId="22" fillId="3" borderId="3" xfId="1" applyFont="1" applyBorder="1" applyAlignment="1">
      <alignment horizontal="left" wrapText="1"/>
    </xf>
    <xf numFmtId="0" fontId="7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23" fillId="0" borderId="0" xfId="0" applyFont="1"/>
    <xf numFmtId="0" fontId="8" fillId="0" borderId="5" xfId="0" applyFont="1" applyBorder="1"/>
    <xf numFmtId="0" fontId="8" fillId="0" borderId="6" xfId="0" applyFont="1" applyBorder="1"/>
    <xf numFmtId="9" fontId="24" fillId="0" borderId="6" xfId="16" applyFont="1" applyBorder="1" applyAlignment="1"/>
    <xf numFmtId="0" fontId="8" fillId="0" borderId="7" xfId="0" applyFont="1" applyBorder="1"/>
    <xf numFmtId="9" fontId="24" fillId="0" borderId="7" xfId="16" applyFont="1" applyBorder="1" applyAlignment="1"/>
    <xf numFmtId="9" fontId="24" fillId="0" borderId="0" xfId="16" applyFont="1" applyBorder="1" applyAlignment="1"/>
    <xf numFmtId="0" fontId="16" fillId="5" borderId="0" xfId="3" applyAlignment="1">
      <alignment wrapText="1"/>
    </xf>
    <xf numFmtId="0" fontId="7" fillId="0" borderId="0" xfId="0" applyFont="1"/>
    <xf numFmtId="1" fontId="8" fillId="0" borderId="0" xfId="9" applyNumberFormat="1"/>
    <xf numFmtId="0" fontId="7" fillId="0" borderId="2" xfId="0" applyFont="1" applyBorder="1" applyAlignment="1">
      <alignment horizontal="center" wrapText="1"/>
    </xf>
    <xf numFmtId="0" fontId="25" fillId="0" borderId="0" xfId="0" applyFont="1"/>
    <xf numFmtId="0" fontId="21" fillId="10" borderId="0" xfId="6" applyFont="1" applyFill="1" applyAlignment="1">
      <alignment horizontal="left"/>
    </xf>
    <xf numFmtId="1" fontId="0" fillId="11" borderId="0" xfId="0" applyNumberFormat="1" applyFill="1"/>
    <xf numFmtId="1" fontId="7" fillId="11" borderId="0" xfId="0" applyNumberFormat="1" applyFont="1" applyFill="1"/>
    <xf numFmtId="0" fontId="25" fillId="12" borderId="2" xfId="0" applyFont="1" applyFill="1" applyBorder="1" applyAlignment="1">
      <alignment wrapText="1"/>
    </xf>
    <xf numFmtId="0" fontId="7" fillId="12" borderId="2" xfId="0" applyFont="1" applyFill="1" applyBorder="1" applyAlignment="1">
      <alignment wrapText="1"/>
    </xf>
    <xf numFmtId="0" fontId="25" fillId="12" borderId="0" xfId="0" applyFont="1" applyFill="1"/>
    <xf numFmtId="1" fontId="0" fillId="13" borderId="0" xfId="0" applyNumberFormat="1" applyFill="1"/>
    <xf numFmtId="1" fontId="7" fillId="13" borderId="0" xfId="0" applyNumberFormat="1" applyFont="1" applyFill="1"/>
    <xf numFmtId="1" fontId="0" fillId="14" borderId="0" xfId="0" applyNumberFormat="1" applyFill="1"/>
    <xf numFmtId="1" fontId="0" fillId="14" borderId="2" xfId="0" applyNumberFormat="1" applyFill="1" applyBorder="1"/>
    <xf numFmtId="1" fontId="7" fillId="14" borderId="0" xfId="0" applyNumberFormat="1" applyFont="1" applyFill="1"/>
    <xf numFmtId="1" fontId="19" fillId="8" borderId="0" xfId="7" applyNumberFormat="1" applyBorder="1" applyAlignment="1"/>
    <xf numFmtId="1" fontId="17" fillId="6" borderId="4" xfId="4" applyNumberFormat="1" applyBorder="1" applyAlignment="1">
      <alignment horizontal="right"/>
    </xf>
    <xf numFmtId="1" fontId="19" fillId="8" borderId="4" xfId="7" applyNumberFormat="1" applyBorder="1" applyAlignment="1"/>
    <xf numFmtId="165" fontId="17" fillId="6" borderId="5" xfId="4" applyNumberFormat="1" applyBorder="1" applyAlignment="1">
      <alignment horizontal="right" vertical="center"/>
    </xf>
    <xf numFmtId="0" fontId="7" fillId="0" borderId="2" xfId="0" applyFont="1" applyBorder="1"/>
    <xf numFmtId="1" fontId="17" fillId="6" borderId="11" xfId="4" applyNumberFormat="1" applyBorder="1" applyAlignment="1">
      <alignment horizontal="right"/>
    </xf>
    <xf numFmtId="1" fontId="17" fillId="6" borderId="12" xfId="4" applyNumberFormat="1" applyBorder="1" applyAlignment="1">
      <alignment horizontal="right"/>
    </xf>
    <xf numFmtId="165" fontId="13" fillId="13" borderId="6" xfId="0" applyNumberFormat="1" applyFont="1" applyFill="1" applyBorder="1" applyAlignment="1">
      <alignment horizontal="left" vertical="center"/>
    </xf>
    <xf numFmtId="165" fontId="13" fillId="13" borderId="8" xfId="0" applyNumberFormat="1" applyFont="1" applyFill="1" applyBorder="1" applyAlignment="1">
      <alignment horizontal="left" vertical="center"/>
    </xf>
    <xf numFmtId="165" fontId="13" fillId="14" borderId="6" xfId="0" applyNumberFormat="1" applyFont="1" applyFill="1" applyBorder="1" applyAlignment="1">
      <alignment horizontal="left" vertical="center"/>
    </xf>
    <xf numFmtId="165" fontId="13" fillId="14" borderId="8" xfId="0" applyNumberFormat="1" applyFont="1" applyFill="1" applyBorder="1" applyAlignment="1">
      <alignment horizontal="left" vertical="center"/>
    </xf>
    <xf numFmtId="165" fontId="13" fillId="14" borderId="7" xfId="0" applyNumberFormat="1" applyFont="1" applyFill="1" applyBorder="1" applyAlignment="1">
      <alignment horizontal="left" vertical="center"/>
    </xf>
    <xf numFmtId="1" fontId="0" fillId="15" borderId="0" xfId="0" applyNumberFormat="1" applyFill="1"/>
    <xf numFmtId="0" fontId="0" fillId="15" borderId="0" xfId="0" applyFill="1"/>
    <xf numFmtId="0" fontId="8" fillId="13" borderId="0" xfId="8" applyFont="1" applyFill="1"/>
    <xf numFmtId="2" fontId="8" fillId="13" borderId="0" xfId="0" applyNumberFormat="1" applyFont="1" applyFill="1"/>
    <xf numFmtId="0" fontId="26" fillId="0" borderId="0" xfId="0" applyFont="1"/>
    <xf numFmtId="0" fontId="7" fillId="16" borderId="0" xfId="0" applyFont="1" applyFill="1"/>
    <xf numFmtId="0" fontId="21" fillId="10" borderId="0" xfId="6" applyFont="1" applyFill="1" applyAlignment="1">
      <alignment wrapText="1"/>
    </xf>
    <xf numFmtId="0" fontId="21" fillId="0" borderId="0" xfId="6" applyFont="1" applyFill="1"/>
    <xf numFmtId="0" fontId="7" fillId="2" borderId="1" xfId="11" applyFont="1" applyFill="1" applyBorder="1" applyAlignment="1">
      <alignment horizontal="left" vertical="center"/>
    </xf>
    <xf numFmtId="0" fontId="16" fillId="4" borderId="0" xfId="2"/>
    <xf numFmtId="0" fontId="0" fillId="0" borderId="4" xfId="0" applyBorder="1"/>
    <xf numFmtId="1" fontId="19" fillId="8" borderId="1" xfId="7" applyNumberFormat="1" applyBorder="1" applyAlignment="1"/>
    <xf numFmtId="1" fontId="17" fillId="6" borderId="13" xfId="4" applyNumberFormat="1" applyBorder="1" applyAlignment="1">
      <alignment horizontal="right"/>
    </xf>
    <xf numFmtId="165" fontId="12" fillId="0" borderId="5" xfId="0" applyNumberFormat="1" applyFont="1" applyBorder="1" applyAlignment="1">
      <alignment horizontal="left" vertical="center"/>
    </xf>
    <xf numFmtId="165" fontId="13" fillId="11" borderId="8" xfId="0" applyNumberFormat="1" applyFont="1" applyFill="1" applyBorder="1" applyAlignment="1">
      <alignment horizontal="left" vertical="center"/>
    </xf>
    <xf numFmtId="165" fontId="12" fillId="0" borderId="7" xfId="0" applyNumberFormat="1" applyFont="1" applyBorder="1" applyAlignment="1">
      <alignment horizontal="left" vertical="center"/>
    </xf>
    <xf numFmtId="0" fontId="8" fillId="0" borderId="0" xfId="8" applyFont="1" applyFill="1"/>
    <xf numFmtId="2" fontId="8" fillId="0" borderId="0" xfId="0" applyNumberFormat="1" applyFont="1"/>
    <xf numFmtId="0" fontId="7" fillId="2" borderId="1" xfId="0" applyFont="1" applyFill="1" applyBorder="1" applyAlignment="1">
      <alignment horizontal="center"/>
    </xf>
    <xf numFmtId="166" fontId="9" fillId="0" borderId="0" xfId="0" applyNumberFormat="1" applyFont="1"/>
    <xf numFmtId="166" fontId="8" fillId="0" borderId="0" xfId="0" applyNumberFormat="1" applyFont="1"/>
    <xf numFmtId="166" fontId="7" fillId="2" borderId="1" xfId="0" applyNumberFormat="1" applyFont="1" applyFill="1" applyBorder="1" applyAlignment="1">
      <alignment horizontal="left"/>
    </xf>
    <xf numFmtId="166" fontId="7" fillId="2" borderId="4" xfId="0" applyNumberFormat="1" applyFont="1" applyFill="1" applyBorder="1" applyAlignment="1">
      <alignment horizontal="left"/>
    </xf>
    <xf numFmtId="166" fontId="22" fillId="3" borderId="3" xfId="1" applyNumberFormat="1" applyFont="1" applyBorder="1" applyAlignment="1">
      <alignment horizontal="left" wrapText="1"/>
    </xf>
    <xf numFmtId="166" fontId="0" fillId="0" borderId="0" xfId="0" applyNumberFormat="1"/>
    <xf numFmtId="166" fontId="22" fillId="3" borderId="3" xfId="1" applyNumberFormat="1" applyFont="1" applyBorder="1" applyAlignment="1">
      <alignment horizontal="center" wrapText="1"/>
    </xf>
    <xf numFmtId="166" fontId="0" fillId="0" borderId="0" xfId="0" applyNumberFormat="1" applyAlignment="1">
      <alignment wrapText="1"/>
    </xf>
    <xf numFmtId="1" fontId="0" fillId="14" borderId="1" xfId="0" applyNumberFormat="1" applyFill="1" applyBorder="1"/>
    <xf numFmtId="1" fontId="17" fillId="6" borderId="2" xfId="4" applyNumberFormat="1" applyBorder="1" applyAlignment="1">
      <alignment horizontal="right"/>
    </xf>
    <xf numFmtId="1" fontId="17" fillId="6" borderId="14" xfId="4" applyNumberFormat="1" applyBorder="1" applyAlignment="1">
      <alignment horizontal="right"/>
    </xf>
    <xf numFmtId="165" fontId="13" fillId="14" borderId="1" xfId="0" applyNumberFormat="1" applyFont="1" applyFill="1" applyBorder="1" applyAlignment="1">
      <alignment horizontal="left" vertical="center"/>
    </xf>
    <xf numFmtId="165" fontId="13" fillId="14" borderId="2" xfId="0" applyNumberFormat="1" applyFont="1" applyFill="1" applyBorder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2" fillId="3" borderId="0" xfId="1" applyFont="1" applyBorder="1" applyAlignment="1">
      <alignment horizontal="left" wrapText="1"/>
    </xf>
    <xf numFmtId="0" fontId="22" fillId="3" borderId="0" xfId="1" applyFont="1" applyBorder="1" applyAlignment="1">
      <alignment horizontal="center" wrapText="1"/>
    </xf>
    <xf numFmtId="0" fontId="21" fillId="17" borderId="0" xfId="6" applyFont="1" applyFill="1"/>
    <xf numFmtId="0" fontId="25" fillId="12" borderId="15" xfId="0" applyFont="1" applyFill="1" applyBorder="1" applyAlignment="1">
      <alignment wrapText="1"/>
    </xf>
    <xf numFmtId="0" fontId="25" fillId="12" borderId="5" xfId="0" applyFont="1" applyFill="1" applyBorder="1" applyAlignment="1">
      <alignment wrapText="1"/>
    </xf>
    <xf numFmtId="0" fontId="25" fillId="12" borderId="16" xfId="0" applyFont="1" applyFill="1" applyBorder="1" applyAlignment="1">
      <alignment wrapText="1"/>
    </xf>
    <xf numFmtId="0" fontId="7" fillId="12" borderId="17" xfId="0" applyFont="1" applyFill="1" applyBorder="1" applyAlignment="1">
      <alignment wrapText="1"/>
    </xf>
    <xf numFmtId="0" fontId="7" fillId="12" borderId="6" xfId="0" applyFont="1" applyFill="1" applyBorder="1" applyAlignment="1">
      <alignment wrapText="1"/>
    </xf>
    <xf numFmtId="165" fontId="13" fillId="14" borderId="15" xfId="0" applyNumberFormat="1" applyFont="1" applyFill="1" applyBorder="1" applyAlignment="1">
      <alignment horizontal="center" vertical="center"/>
    </xf>
    <xf numFmtId="165" fontId="13" fillId="14" borderId="5" xfId="0" applyNumberFormat="1" applyFont="1" applyFill="1" applyBorder="1" applyAlignment="1">
      <alignment horizontal="center" vertical="center"/>
    </xf>
    <xf numFmtId="165" fontId="13" fillId="14" borderId="16" xfId="0" applyNumberFormat="1" applyFont="1" applyFill="1" applyBorder="1" applyAlignment="1">
      <alignment horizontal="center" vertical="center"/>
    </xf>
    <xf numFmtId="0" fontId="7" fillId="12" borderId="0" xfId="0" applyFont="1" applyFill="1" applyAlignment="1">
      <alignment wrapText="1"/>
    </xf>
    <xf numFmtId="1" fontId="24" fillId="15" borderId="0" xfId="0" applyNumberFormat="1" applyFont="1" applyFill="1"/>
    <xf numFmtId="1" fontId="24" fillId="13" borderId="0" xfId="8" applyNumberFormat="1" applyFont="1" applyFill="1"/>
    <xf numFmtId="0" fontId="8" fillId="0" borderId="0" xfId="9"/>
    <xf numFmtId="166" fontId="9" fillId="0" borderId="0" xfId="9" applyNumberFormat="1" applyFont="1"/>
    <xf numFmtId="166" fontId="8" fillId="0" borderId="0" xfId="9" applyNumberFormat="1"/>
    <xf numFmtId="166" fontId="7" fillId="2" borderId="1" xfId="9" applyNumberFormat="1" applyFont="1" applyFill="1" applyBorder="1" applyAlignment="1">
      <alignment horizontal="left"/>
    </xf>
    <xf numFmtId="166" fontId="7" fillId="2" borderId="4" xfId="9" applyNumberFormat="1" applyFont="1" applyFill="1" applyBorder="1" applyAlignment="1">
      <alignment horizontal="left"/>
    </xf>
    <xf numFmtId="166" fontId="22" fillId="3" borderId="3" xfId="23" applyNumberFormat="1" applyFont="1" applyBorder="1" applyAlignment="1">
      <alignment horizontal="left" wrapText="1"/>
    </xf>
    <xf numFmtId="0" fontId="18" fillId="7" borderId="0" xfId="6"/>
    <xf numFmtId="9" fontId="18" fillId="7" borderId="0" xfId="6" applyNumberFormat="1" applyAlignment="1">
      <alignment horizontal="left"/>
    </xf>
    <xf numFmtId="0" fontId="24" fillId="0" borderId="0" xfId="9" applyFont="1"/>
    <xf numFmtId="0" fontId="7" fillId="2" borderId="1" xfId="11" applyFont="1" applyFill="1" applyBorder="1" applyAlignment="1">
      <alignment horizontal="center" vertical="center" wrapText="1"/>
    </xf>
    <xf numFmtId="0" fontId="7" fillId="2" borderId="1" xfId="12" applyFont="1" applyFill="1" applyBorder="1" applyAlignment="1">
      <alignment horizontal="center" vertical="center" wrapText="1"/>
    </xf>
    <xf numFmtId="0" fontId="7" fillId="2" borderId="0" xfId="11" applyFont="1" applyFill="1" applyAlignment="1">
      <alignment horizontal="center" vertical="center" wrapText="1"/>
    </xf>
    <xf numFmtId="0" fontId="22" fillId="3" borderId="1" xfId="23" applyFont="1" applyBorder="1" applyAlignment="1">
      <alignment horizontal="left" wrapText="1"/>
    </xf>
    <xf numFmtId="0" fontId="22" fillId="3" borderId="4" xfId="23" applyFont="1" applyBorder="1" applyAlignment="1">
      <alignment horizontal="left" wrapText="1"/>
    </xf>
    <xf numFmtId="0" fontId="22" fillId="3" borderId="0" xfId="23" applyFont="1" applyBorder="1" applyAlignment="1">
      <alignment horizontal="left" wrapText="1"/>
    </xf>
    <xf numFmtId="0" fontId="22" fillId="3" borderId="3" xfId="23" applyFont="1" applyBorder="1" applyAlignment="1">
      <alignment horizontal="left" wrapText="1"/>
    </xf>
    <xf numFmtId="0" fontId="22" fillId="3" borderId="3" xfId="23" applyFont="1" applyBorder="1" applyAlignment="1">
      <alignment horizontal="center" wrapText="1"/>
    </xf>
    <xf numFmtId="0" fontId="22" fillId="3" borderId="9" xfId="23" applyFont="1" applyBorder="1" applyAlignment="1">
      <alignment horizontal="center" wrapText="1"/>
    </xf>
    <xf numFmtId="0" fontId="22" fillId="3" borderId="0" xfId="23" applyFont="1" applyBorder="1" applyAlignment="1">
      <alignment horizontal="center" wrapText="1"/>
    </xf>
    <xf numFmtId="9" fontId="8" fillId="15" borderId="0" xfId="24" applyFont="1" applyFill="1"/>
    <xf numFmtId="2" fontId="8" fillId="13" borderId="0" xfId="9" applyNumberFormat="1" applyFill="1"/>
    <xf numFmtId="9" fontId="24" fillId="13" borderId="0" xfId="25" applyFont="1" applyFill="1"/>
    <xf numFmtId="0" fontId="8" fillId="13" borderId="0" xfId="9" applyFill="1"/>
    <xf numFmtId="2" fontId="8" fillId="0" borderId="0" xfId="9" applyNumberFormat="1"/>
    <xf numFmtId="9" fontId="0" fillId="0" borderId="0" xfId="24" applyFont="1" applyFill="1"/>
    <xf numFmtId="9" fontId="8" fillId="0" borderId="0" xfId="9" applyNumberFormat="1"/>
    <xf numFmtId="9" fontId="0" fillId="0" borderId="0" xfId="24" applyFont="1"/>
    <xf numFmtId="0" fontId="8" fillId="15" borderId="0" xfId="9" applyFill="1"/>
    <xf numFmtId="9" fontId="0" fillId="0" borderId="0" xfId="16" applyFont="1"/>
    <xf numFmtId="0" fontId="8" fillId="17" borderId="0" xfId="9" applyFill="1"/>
    <xf numFmtId="9" fontId="8" fillId="17" borderId="0" xfId="24" applyFont="1" applyFill="1"/>
    <xf numFmtId="9" fontId="24" fillId="17" borderId="0" xfId="25" applyFont="1" applyFill="1"/>
    <xf numFmtId="9" fontId="8" fillId="17" borderId="0" xfId="25" applyFont="1" applyFill="1"/>
    <xf numFmtId="166" fontId="8" fillId="17" borderId="0" xfId="9" applyNumberFormat="1" applyFill="1"/>
    <xf numFmtId="9" fontId="0" fillId="0" borderId="0" xfId="0" applyNumberFormat="1"/>
    <xf numFmtId="2" fontId="8" fillId="15" borderId="0" xfId="0" applyNumberFormat="1" applyFont="1" applyFill="1"/>
    <xf numFmtId="0" fontId="7" fillId="2" borderId="1" xfId="0" applyFont="1" applyFill="1" applyBorder="1" applyAlignment="1">
      <alignment vertical="center"/>
    </xf>
    <xf numFmtId="0" fontId="9" fillId="0" borderId="0" xfId="0" applyFont="1"/>
    <xf numFmtId="0" fontId="22" fillId="3" borderId="3" xfId="31" applyFont="1" applyBorder="1" applyAlignment="1">
      <alignment horizontal="left" wrapText="1"/>
    </xf>
    <xf numFmtId="0" fontId="22" fillId="3" borderId="1" xfId="31" applyFont="1" applyBorder="1" applyAlignment="1">
      <alignment horizontal="left" wrapText="1"/>
    </xf>
    <xf numFmtId="0" fontId="8" fillId="0" borderId="18" xfId="0" applyFont="1" applyBorder="1"/>
    <xf numFmtId="0" fontId="0" fillId="13" borderId="0" xfId="0" applyFill="1"/>
    <xf numFmtId="1" fontId="8" fillId="15" borderId="0" xfId="8" applyNumberFormat="1" applyFont="1" applyFill="1"/>
    <xf numFmtId="0" fontId="7" fillId="0" borderId="0" xfId="0" applyFont="1" applyAlignment="1">
      <alignment vertical="center"/>
    </xf>
    <xf numFmtId="0" fontId="22" fillId="0" borderId="0" xfId="31" applyFont="1" applyFill="1" applyBorder="1" applyAlignment="1">
      <alignment horizontal="left" wrapText="1"/>
    </xf>
    <xf numFmtId="1" fontId="19" fillId="8" borderId="10" xfId="7" applyNumberFormat="1"/>
    <xf numFmtId="0" fontId="22" fillId="3" borderId="1" xfId="1" applyFont="1" applyBorder="1" applyAlignment="1">
      <alignment horizontal="left" wrapText="1"/>
    </xf>
    <xf numFmtId="2" fontId="0" fillId="15" borderId="0" xfId="0" applyNumberFormat="1" applyFill="1"/>
    <xf numFmtId="0" fontId="8" fillId="0" borderId="2" xfId="9" applyBorder="1"/>
    <xf numFmtId="2" fontId="0" fillId="15" borderId="2" xfId="0" applyNumberFormat="1" applyFill="1" applyBorder="1"/>
    <xf numFmtId="0" fontId="24" fillId="13" borderId="0" xfId="9" applyFont="1" applyFill="1"/>
    <xf numFmtId="0" fontId="28" fillId="18" borderId="0" xfId="0" quotePrefix="1" applyFont="1" applyFill="1"/>
    <xf numFmtId="0" fontId="28" fillId="0" borderId="0" xfId="0" quotePrefix="1" applyFont="1"/>
    <xf numFmtId="0" fontId="9" fillId="0" borderId="0" xfId="0" applyFont="1" applyAlignment="1">
      <alignment horizontal="left"/>
    </xf>
    <xf numFmtId="0" fontId="28" fillId="0" borderId="0" xfId="0" applyFont="1"/>
    <xf numFmtId="0" fontId="7" fillId="2" borderId="3" xfId="11" applyFont="1" applyFill="1" applyBorder="1" applyAlignment="1">
      <alignment horizontal="left" vertical="center"/>
    </xf>
    <xf numFmtId="0" fontId="22" fillId="3" borderId="3" xfId="33" applyFont="1" applyBorder="1" applyAlignment="1">
      <alignment horizontal="left" wrapText="1"/>
    </xf>
    <xf numFmtId="0" fontId="7" fillId="0" borderId="0" xfId="11" applyFont="1" applyAlignment="1">
      <alignment horizontal="left" vertical="center"/>
    </xf>
    <xf numFmtId="2" fontId="0" fillId="13" borderId="0" xfId="0" applyNumberFormat="1" applyFill="1"/>
  </cellXfs>
  <cellStyles count="34">
    <cellStyle name="20% - Accent5" xfId="1" builtinId="46"/>
    <cellStyle name="20% - Accent5 2" xfId="21" xr:uid="{E1B1E490-7605-42BA-88C1-54B79AE47809}"/>
    <cellStyle name="20% - Accent5 2 2" xfId="31" xr:uid="{9A77BCA1-6431-4844-B2C6-C94657613BD6}"/>
    <cellStyle name="20% - Accent5 3" xfId="23" xr:uid="{DA259BB9-02EC-43FA-87ED-DF1C9674376E}"/>
    <cellStyle name="20% - Accent5 3 2" xfId="32" xr:uid="{11218C35-6A74-4BF8-9F7B-075BB6A7712F}"/>
    <cellStyle name="20% - Accent5 4" xfId="26" xr:uid="{ABDC135E-9A4A-4078-8504-7FAED0F441DB}"/>
    <cellStyle name="20% - Accent5 5" xfId="33" xr:uid="{CC4422F1-4577-475D-9062-5705E5BAA574}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Comma 2 2" xfId="27" xr:uid="{0F81714B-A75F-4A57-A4C6-D6B684BC4CCE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8 2" xfId="28" xr:uid="{C94D68A9-0F9F-49C7-A496-97D6E4CFF1B0}"/>
    <cellStyle name="Normal 9 2" xfId="14" xr:uid="{00000000-0005-0000-0000-00000E000000}"/>
    <cellStyle name="Normale_B2020" xfId="15" xr:uid="{00000000-0005-0000-0000-00000F000000}"/>
    <cellStyle name="Per cent" xfId="16" builtinId="5"/>
    <cellStyle name="Per cent 2" xfId="24" xr:uid="{2C564A4B-D800-4EE4-B939-9255D7A664BB}"/>
    <cellStyle name="Percent 2" xfId="17" xr:uid="{00000000-0005-0000-0000-000011000000}"/>
    <cellStyle name="Percent 3" xfId="18" xr:uid="{00000000-0005-0000-0000-000012000000}"/>
    <cellStyle name="Percent 3 2" xfId="29" xr:uid="{E6B199C5-EFD9-4EA1-A159-C95FD8F6F260}"/>
    <cellStyle name="Percent 4" xfId="19" xr:uid="{00000000-0005-0000-0000-000013000000}"/>
    <cellStyle name="Percent 4 2" xfId="30" xr:uid="{79737ADA-DDDA-4EF8-B7E2-486C4D5F412E}"/>
    <cellStyle name="Percent 6" xfId="22" xr:uid="{1EB895F0-BE60-4B32-9DA6-CE069C17C0AF}"/>
    <cellStyle name="Percent 6 2" xfId="25" xr:uid="{A427AE73-DCB2-44C3-B181-2DC8B589E0A8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FB711A-45C1-4FF1-8CBD-0948D7A0999A}"/>
            </a:ext>
          </a:extLst>
        </xdr:cNvPr>
        <xdr:cNvSpPr txBox="1"/>
      </xdr:nvSpPr>
      <xdr:spPr>
        <a:xfrm>
          <a:off x="5713517" y="4730115"/>
          <a:ext cx="6057922" cy="99814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1F3E18-E795-41B9-883B-BCDF19A7ED71}"/>
            </a:ext>
          </a:extLst>
        </xdr:cNvPr>
        <xdr:cNvSpPr txBox="1"/>
      </xdr:nvSpPr>
      <xdr:spPr>
        <a:xfrm>
          <a:off x="9239250" y="6094519"/>
          <a:ext cx="3335033" cy="724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10</xdr:col>
      <xdr:colOff>295275</xdr:colOff>
      <xdr:row>57</xdr:row>
      <xdr:rowOff>19050</xdr:rowOff>
    </xdr:to>
    <xdr:pic>
      <xdr:nvPicPr>
        <xdr:cNvPr id="55002" name="Picture 1">
          <a:extLst>
            <a:ext uri="{FF2B5EF4-FFF2-40B4-BE49-F238E27FC236}">
              <a16:creationId xmlns:a16="http://schemas.microsoft.com/office/drawing/2014/main" id="{17736024-F2ED-4ACF-9341-E965F940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972425"/>
          <a:ext cx="273367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561975</xdr:colOff>
      <xdr:row>2</xdr:row>
      <xdr:rowOff>114300</xdr:rowOff>
    </xdr:from>
    <xdr:to>
      <xdr:col>8</xdr:col>
      <xdr:colOff>257175</xdr:colOff>
      <xdr:row>11</xdr:row>
      <xdr:rowOff>76200</xdr:rowOff>
    </xdr:to>
    <xdr:pic>
      <xdr:nvPicPr>
        <xdr:cNvPr id="55004" name="Picture 1">
          <a:extLst>
            <a:ext uri="{FF2B5EF4-FFF2-40B4-BE49-F238E27FC236}">
              <a16:creationId xmlns:a16="http://schemas.microsoft.com/office/drawing/2014/main" id="{8DD8EDA5-CAB9-4317-A46E-C293D1899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504825"/>
          <a:ext cx="2743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600075</xdr:colOff>
      <xdr:row>3</xdr:row>
      <xdr:rowOff>76200</xdr:rowOff>
    </xdr:from>
    <xdr:to>
      <xdr:col>16</xdr:col>
      <xdr:colOff>200025</xdr:colOff>
      <xdr:row>11</xdr:row>
      <xdr:rowOff>85725</xdr:rowOff>
    </xdr:to>
    <xdr:pic>
      <xdr:nvPicPr>
        <xdr:cNvPr id="55005" name="Picture 2">
          <a:extLst>
            <a:ext uri="{FF2B5EF4-FFF2-40B4-BE49-F238E27FC236}">
              <a16:creationId xmlns:a16="http://schemas.microsoft.com/office/drawing/2014/main" id="{D6060F44-F29C-4C89-9B35-19CF51A91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695325"/>
          <a:ext cx="3457575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29</xdr:row>
      <xdr:rowOff>137160</xdr:rowOff>
    </xdr:from>
    <xdr:to>
      <xdr:col>15</xdr:col>
      <xdr:colOff>133299</xdr:colOff>
      <xdr:row>38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532F4-B1A0-4E92-B4DB-A991FCA8A989}"/>
            </a:ext>
          </a:extLst>
        </xdr:cNvPr>
        <xdr:cNvSpPr txBox="1"/>
      </xdr:nvSpPr>
      <xdr:spPr>
        <a:xfrm>
          <a:off x="8305800" y="4511040"/>
          <a:ext cx="5116779" cy="1417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516548</xdr:colOff>
      <xdr:row>24</xdr:row>
      <xdr:rowOff>65943</xdr:rowOff>
    </xdr:from>
    <xdr:to>
      <xdr:col>18</xdr:col>
      <xdr:colOff>3771674</xdr:colOff>
      <xdr:row>29</xdr:row>
      <xdr:rowOff>142143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8BD8A5-11CE-4C5F-8581-1EACE2C1D75C}"/>
            </a:ext>
          </a:extLst>
        </xdr:cNvPr>
        <xdr:cNvSpPr txBox="1"/>
      </xdr:nvSpPr>
      <xdr:spPr>
        <a:xfrm>
          <a:off x="10498748" y="4287423"/>
          <a:ext cx="5952606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A0B9D3-D018-429C-864E-35772BF3A006}"/>
            </a:ext>
          </a:extLst>
        </xdr:cNvPr>
        <xdr:cNvSpPr txBox="1"/>
      </xdr:nvSpPr>
      <xdr:spPr>
        <a:xfrm>
          <a:off x="609600" y="2200275"/>
          <a:ext cx="4419600" cy="5791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A534-E44A-461C-9315-2313911B2BEB}">
  <dimension ref="B1:R67"/>
  <sheetViews>
    <sheetView topLeftCell="A3" zoomScale="122" zoomScaleNormal="122" workbookViewId="0">
      <selection activeCell="L9" sqref="L9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126</v>
      </c>
      <c r="R2" s="7" t="s">
        <v>94</v>
      </c>
    </row>
    <row r="3" spans="2:18" x14ac:dyDescent="0.25">
      <c r="C3" s="4"/>
      <c r="D3" s="28" t="s">
        <v>179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60" t="s">
        <v>49</v>
      </c>
      <c r="E4" s="57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1" t="s">
        <v>51</v>
      </c>
      <c r="D5" s="58">
        <v>16266.24</v>
      </c>
      <c r="E5" s="25">
        <v>0</v>
      </c>
      <c r="F5" s="25">
        <v>60374.92</v>
      </c>
      <c r="G5" s="25">
        <v>126</v>
      </c>
      <c r="H5" s="25">
        <v>1904.4</v>
      </c>
      <c r="I5" s="25">
        <v>1736171.912</v>
      </c>
      <c r="J5" s="25">
        <f>F5+G5+H5</f>
        <v>62405.32</v>
      </c>
      <c r="K5" s="26">
        <f>SUM(D5:J5)</f>
        <v>1877248.7920000001</v>
      </c>
      <c r="O5" s="5"/>
    </row>
    <row r="6" spans="2:18" ht="14.4" x14ac:dyDescent="0.3">
      <c r="B6" s="29" t="s">
        <v>52</v>
      </c>
      <c r="C6" s="61" t="s">
        <v>53</v>
      </c>
      <c r="D6" s="35">
        <v>11367.581</v>
      </c>
      <c r="E6" s="25">
        <v>213670.36799999999</v>
      </c>
      <c r="F6" s="25"/>
      <c r="G6" s="25"/>
      <c r="H6" s="25"/>
      <c r="I6" s="25"/>
      <c r="J6" s="25">
        <v>0</v>
      </c>
      <c r="K6" s="26">
        <f>SUM(D6:J6)</f>
        <v>225037.94899999999</v>
      </c>
    </row>
    <row r="7" spans="2:18" ht="14.4" x14ac:dyDescent="0.3">
      <c r="B7" s="29" t="s">
        <v>128</v>
      </c>
      <c r="C7" s="61" t="s">
        <v>132</v>
      </c>
      <c r="D7" s="35"/>
      <c r="E7" s="25"/>
      <c r="F7" s="25"/>
      <c r="G7" s="25"/>
      <c r="H7" s="25"/>
      <c r="I7" s="25"/>
      <c r="J7" s="25">
        <v>-6300</v>
      </c>
      <c r="K7" s="26"/>
    </row>
    <row r="8" spans="2:18" ht="14.4" x14ac:dyDescent="0.3">
      <c r="B8" s="56" t="s">
        <v>116</v>
      </c>
      <c r="C8" s="38" t="s">
        <v>117</v>
      </c>
      <c r="D8" s="37">
        <f>SUM(D5:D6)</f>
        <v>27633.821</v>
      </c>
      <c r="E8" s="37">
        <f t="shared" ref="E8:K8" si="0">SUM(E5:E6)</f>
        <v>213670.36799999999</v>
      </c>
      <c r="F8" s="37">
        <f t="shared" si="0"/>
        <v>60374.92</v>
      </c>
      <c r="G8" s="37">
        <f>SUM(G5:G7)</f>
        <v>126</v>
      </c>
      <c r="H8" s="37">
        <f>SUM(H5:H7)</f>
        <v>1904.4</v>
      </c>
      <c r="I8" s="37">
        <f>SUM(I5:I7)</f>
        <v>1736171.912</v>
      </c>
      <c r="J8" s="37">
        <f>SUM(J5:J7)</f>
        <v>56105.32</v>
      </c>
      <c r="K8" s="37">
        <f t="shared" si="0"/>
        <v>2102286.7409999999</v>
      </c>
    </row>
    <row r="9" spans="2:18" x14ac:dyDescent="0.25">
      <c r="B9" s="23"/>
      <c r="C9" s="62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v>-209</v>
      </c>
      <c r="K10" s="31">
        <f>SUM(D10:J10)</f>
        <v>-209</v>
      </c>
    </row>
    <row r="11" spans="2:18" x14ac:dyDescent="0.25">
      <c r="B11" s="29" t="s">
        <v>46</v>
      </c>
      <c r="C11" s="43" t="s">
        <v>57</v>
      </c>
      <c r="D11" s="30"/>
      <c r="E11" s="30">
        <v>-7.2</v>
      </c>
      <c r="F11" s="30">
        <f>-F8</f>
        <v>-60374.92</v>
      </c>
      <c r="G11" s="30">
        <f>-G5</f>
        <v>-126</v>
      </c>
      <c r="H11" s="30">
        <f>-H5</f>
        <v>-1904.4</v>
      </c>
      <c r="I11" s="30"/>
      <c r="J11" s="30">
        <f>J5-J7</f>
        <v>68705.320000000007</v>
      </c>
      <c r="K11" s="31">
        <f t="shared" ref="K11:K13" si="1">SUM(D11:J11)</f>
        <v>6292.8000000000102</v>
      </c>
    </row>
    <row r="12" spans="2:18" x14ac:dyDescent="0.25">
      <c r="B12" s="29" t="s">
        <v>58</v>
      </c>
      <c r="C12" s="43" t="s">
        <v>138</v>
      </c>
      <c r="D12" s="30">
        <v>-27634</v>
      </c>
      <c r="E12" s="30">
        <f>-E8+E11</f>
        <v>-213677.568</v>
      </c>
      <c r="F12" s="30"/>
      <c r="G12" s="30"/>
      <c r="H12" s="30"/>
      <c r="I12" s="30">
        <f>-I8</f>
        <v>-1736171.912</v>
      </c>
      <c r="J12" s="30">
        <v>0</v>
      </c>
      <c r="K12" s="31">
        <f t="shared" si="1"/>
        <v>-1977483.48</v>
      </c>
    </row>
    <row r="13" spans="2:18" ht="14.4" x14ac:dyDescent="0.3">
      <c r="B13" s="23"/>
      <c r="C13" s="38" t="s">
        <v>59</v>
      </c>
      <c r="D13" s="59">
        <f>SUM(D10:D12)</f>
        <v>-27634</v>
      </c>
      <c r="E13" s="40">
        <f>SUM(E10:E12)</f>
        <v>-213684.76800000001</v>
      </c>
      <c r="F13" s="40">
        <f t="shared" ref="F13:I13" si="2">SUM(F10:F12)</f>
        <v>-60374.92</v>
      </c>
      <c r="G13" s="40">
        <f t="shared" si="2"/>
        <v>-126</v>
      </c>
      <c r="H13" s="40">
        <f t="shared" si="2"/>
        <v>-1904.4</v>
      </c>
      <c r="I13" s="40">
        <f t="shared" si="2"/>
        <v>-1736171.912</v>
      </c>
      <c r="J13" s="40">
        <f>SUM(J10:J12)</f>
        <v>68496.320000000007</v>
      </c>
      <c r="K13" s="31">
        <f t="shared" si="1"/>
        <v>-1971399.6799999999</v>
      </c>
    </row>
    <row r="14" spans="2:18" x14ac:dyDescent="0.25">
      <c r="B14" s="23"/>
      <c r="C14" s="62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/>
      <c r="E15" s="32">
        <v>4898.5519999999997</v>
      </c>
      <c r="F15" s="32"/>
      <c r="G15" s="32"/>
      <c r="H15" s="32"/>
      <c r="I15" s="32">
        <v>1388448.865</v>
      </c>
      <c r="J15" s="32">
        <v>21938.831999999999</v>
      </c>
      <c r="K15" s="34">
        <f t="shared" ref="K15:K24" si="3">SUM(D15:J15)</f>
        <v>1415286.2489999998</v>
      </c>
    </row>
    <row r="16" spans="2:18" x14ac:dyDescent="0.25">
      <c r="B16" s="29" t="s">
        <v>63</v>
      </c>
      <c r="C16" s="45" t="s">
        <v>64</v>
      </c>
      <c r="D16" s="32"/>
      <c r="E16" s="32">
        <v>3076.8539999999998</v>
      </c>
      <c r="F16" s="32"/>
      <c r="G16" s="32"/>
      <c r="H16" s="32"/>
      <c r="I16" s="32">
        <v>15030.37</v>
      </c>
      <c r="J16" s="32">
        <v>9252.8279999999995</v>
      </c>
      <c r="K16" s="34">
        <f t="shared" si="3"/>
        <v>27360.052000000003</v>
      </c>
    </row>
    <row r="17" spans="2:12" x14ac:dyDescent="0.25">
      <c r="B17" s="29" t="s">
        <v>65</v>
      </c>
      <c r="C17" s="45" t="s">
        <v>66</v>
      </c>
      <c r="D17" s="32"/>
      <c r="E17" s="32"/>
      <c r="F17" s="32"/>
      <c r="G17" s="32"/>
      <c r="H17" s="32"/>
      <c r="I17" s="32"/>
      <c r="J17" s="32"/>
      <c r="K17" s="34">
        <f t="shared" si="3"/>
        <v>0</v>
      </c>
    </row>
    <row r="18" spans="2:12" x14ac:dyDescent="0.25">
      <c r="B18" s="29" t="s">
        <v>133</v>
      </c>
      <c r="C18" s="45" t="s">
        <v>134</v>
      </c>
      <c r="D18" s="32">
        <v>27634.417000000001</v>
      </c>
      <c r="E18" s="32">
        <v>9378.4320000000007</v>
      </c>
      <c r="F18" s="32"/>
      <c r="G18" s="32"/>
      <c r="H18" s="32"/>
      <c r="I18" s="32"/>
      <c r="J18" s="32">
        <v>10301.619499999999</v>
      </c>
      <c r="K18" s="34">
        <f t="shared" si="3"/>
        <v>47314.468500000003</v>
      </c>
    </row>
    <row r="19" spans="2:12" x14ac:dyDescent="0.25">
      <c r="B19" s="29" t="s">
        <v>135</v>
      </c>
      <c r="C19" s="45" t="s">
        <v>136</v>
      </c>
      <c r="D19" s="32"/>
      <c r="E19" s="32">
        <v>31613.267999999996</v>
      </c>
      <c r="F19" s="32"/>
      <c r="G19" s="32"/>
      <c r="H19" s="32"/>
      <c r="I19" s="32"/>
      <c r="J19" s="32">
        <v>542.19050000000061</v>
      </c>
      <c r="K19" s="34">
        <f t="shared" si="3"/>
        <v>32155.458499999997</v>
      </c>
    </row>
    <row r="20" spans="2:12" x14ac:dyDescent="0.25">
      <c r="B20" s="29" t="s">
        <v>67</v>
      </c>
      <c r="C20" s="45" t="s">
        <v>137</v>
      </c>
      <c r="D20" s="32"/>
      <c r="E20" s="32">
        <v>7289.8130000000001</v>
      </c>
      <c r="F20" s="32"/>
      <c r="G20" s="32"/>
      <c r="H20" s="32"/>
      <c r="I20" s="32"/>
      <c r="J20" s="32"/>
      <c r="K20" s="34">
        <f t="shared" si="3"/>
        <v>7289.8130000000001</v>
      </c>
    </row>
    <row r="21" spans="2:12" x14ac:dyDescent="0.25">
      <c r="B21" s="29" t="s">
        <v>68</v>
      </c>
      <c r="C21" s="45" t="s">
        <v>69</v>
      </c>
      <c r="D21" s="32"/>
      <c r="E21" s="32">
        <v>100365.844</v>
      </c>
      <c r="F21" s="32"/>
      <c r="G21" s="32"/>
      <c r="H21" s="32"/>
      <c r="I21" s="32">
        <v>399.02699999999999</v>
      </c>
      <c r="J21" s="32">
        <v>167.47200000000001</v>
      </c>
      <c r="K21" s="34">
        <f t="shared" si="3"/>
        <v>100932.34299999999</v>
      </c>
    </row>
    <row r="22" spans="2:12" x14ac:dyDescent="0.25">
      <c r="B22" s="29" t="s">
        <v>70</v>
      </c>
      <c r="C22" s="46" t="s">
        <v>71</v>
      </c>
      <c r="D22" s="33"/>
      <c r="E22" s="32">
        <v>7289.8130000000001</v>
      </c>
      <c r="F22" s="32"/>
      <c r="G22" s="32"/>
      <c r="H22" s="32"/>
      <c r="I22" s="32"/>
      <c r="J22" s="32"/>
      <c r="K22" s="34">
        <f t="shared" si="3"/>
        <v>7289.8130000000001</v>
      </c>
    </row>
    <row r="23" spans="2:12" x14ac:dyDescent="0.25">
      <c r="B23" s="29" t="s">
        <v>83</v>
      </c>
      <c r="C23" s="45" t="s">
        <v>72</v>
      </c>
      <c r="D23" s="32"/>
      <c r="E23" s="74">
        <v>4304.424</v>
      </c>
      <c r="F23" s="74"/>
      <c r="G23" s="74"/>
      <c r="H23" s="74"/>
      <c r="I23" s="74"/>
      <c r="J23" s="74"/>
      <c r="K23" s="34">
        <f t="shared" si="3"/>
        <v>4304.424</v>
      </c>
    </row>
    <row r="24" spans="2:12" x14ac:dyDescent="0.25">
      <c r="B24" s="29" t="s">
        <v>84</v>
      </c>
      <c r="C24" s="45" t="s">
        <v>73</v>
      </c>
      <c r="D24" s="32"/>
      <c r="E24" s="33">
        <v>45897</v>
      </c>
      <c r="F24" s="33"/>
      <c r="G24" s="33"/>
      <c r="H24" s="33"/>
      <c r="I24" s="33"/>
      <c r="J24" s="33"/>
      <c r="K24" s="34">
        <f t="shared" si="3"/>
        <v>45897</v>
      </c>
    </row>
    <row r="25" spans="2:12" ht="14.4" x14ac:dyDescent="0.3">
      <c r="B25" s="56" t="s">
        <v>86</v>
      </c>
      <c r="C25" s="38" t="s">
        <v>118</v>
      </c>
      <c r="D25" s="36">
        <f t="shared" ref="D25:K25" si="4">SUM(D15:D24)</f>
        <v>27634.417000000001</v>
      </c>
      <c r="E25" s="75">
        <f t="shared" si="4"/>
        <v>214114</v>
      </c>
      <c r="F25" s="75"/>
      <c r="G25" s="75"/>
      <c r="H25" s="75"/>
      <c r="I25" s="75">
        <f>SUM(I15:I24)</f>
        <v>1403878.2620000001</v>
      </c>
      <c r="J25" s="75">
        <f>SUM(J15:J24)</f>
        <v>42202.942000000003</v>
      </c>
      <c r="K25" s="76">
        <f t="shared" si="4"/>
        <v>1687829.6209999998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165</v>
      </c>
      <c r="D37" s="13" t="s">
        <v>44</v>
      </c>
      <c r="E37" s="5" t="s">
        <v>164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0.43947549133545488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166</v>
      </c>
      <c r="D40" s="18">
        <f>D18/(D18+E18)</f>
        <v>0.7466168572973132</v>
      </c>
      <c r="E40" s="122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1" t="s">
        <v>48</v>
      </c>
    </row>
    <row r="46" spans="2:12" x14ac:dyDescent="0.25">
      <c r="B46" t="s">
        <v>133</v>
      </c>
      <c r="C46" t="s">
        <v>145</v>
      </c>
      <c r="D46" s="122">
        <f>D18/(D18+E18)</f>
        <v>0.7466168572973132</v>
      </c>
      <c r="E46" s="122"/>
      <c r="K46" s="128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167</v>
      </c>
      <c r="E47" s="122">
        <f>E18/(D18+E18)</f>
        <v>0.25338314270268686</v>
      </c>
      <c r="J47" s="122"/>
      <c r="K47" s="128">
        <f>SUM(D47:J47)</f>
        <v>0.25338314270268686</v>
      </c>
      <c r="L47" t="s">
        <v>168</v>
      </c>
    </row>
    <row r="48" spans="2:12" x14ac:dyDescent="0.25">
      <c r="B48" t="s">
        <v>133</v>
      </c>
      <c r="C48" t="s">
        <v>172</v>
      </c>
      <c r="J48" s="122">
        <v>1</v>
      </c>
      <c r="K48" s="128">
        <f>SUM(D48:J48)</f>
        <v>1</v>
      </c>
      <c r="L48" t="s">
        <v>173</v>
      </c>
    </row>
    <row r="49" spans="10:11" x14ac:dyDescent="0.25">
      <c r="J49" s="122"/>
      <c r="K49" s="128"/>
    </row>
    <row r="50" spans="10:11" x14ac:dyDescent="0.25">
      <c r="J50" s="122"/>
      <c r="K50" s="128"/>
    </row>
    <row r="51" spans="10:11" x14ac:dyDescent="0.25">
      <c r="J51" s="122"/>
      <c r="K51" s="128"/>
    </row>
    <row r="52" spans="10:11" x14ac:dyDescent="0.25">
      <c r="J52" s="122"/>
      <c r="K52" s="128"/>
    </row>
    <row r="53" spans="10:11" x14ac:dyDescent="0.25">
      <c r="J53" s="122"/>
      <c r="K53" s="128"/>
    </row>
    <row r="54" spans="10:11" x14ac:dyDescent="0.25">
      <c r="J54" s="122"/>
      <c r="K54" s="128"/>
    </row>
    <row r="55" spans="10:11" x14ac:dyDescent="0.25">
      <c r="J55" s="122"/>
      <c r="K55" s="128"/>
    </row>
    <row r="56" spans="10:11" x14ac:dyDescent="0.25">
      <c r="J56" s="122"/>
      <c r="K56" s="128"/>
    </row>
    <row r="57" spans="10:11" x14ac:dyDescent="0.25">
      <c r="J57" s="122"/>
      <c r="K57" s="128"/>
    </row>
    <row r="58" spans="10:11" x14ac:dyDescent="0.25">
      <c r="J58" s="122"/>
      <c r="K58" s="128"/>
    </row>
    <row r="59" spans="10:11" x14ac:dyDescent="0.25">
      <c r="J59" s="122"/>
      <c r="K59" s="128"/>
    </row>
    <row r="60" spans="10:11" x14ac:dyDescent="0.25">
      <c r="J60" s="122"/>
      <c r="K60" s="128"/>
    </row>
    <row r="61" spans="10:11" x14ac:dyDescent="0.25">
      <c r="J61" s="122"/>
      <c r="K61" s="128"/>
    </row>
    <row r="62" spans="10:11" x14ac:dyDescent="0.25">
      <c r="J62" s="122"/>
      <c r="K62" s="128"/>
    </row>
    <row r="63" spans="10:11" x14ac:dyDescent="0.25">
      <c r="J63" s="122"/>
      <c r="K63" s="128"/>
    </row>
    <row r="65" spans="2:5" x14ac:dyDescent="0.25">
      <c r="C65" s="83" t="s">
        <v>147</v>
      </c>
      <c r="D65" s="84" t="s">
        <v>148</v>
      </c>
      <c r="E65" s="85" t="s">
        <v>149</v>
      </c>
    </row>
    <row r="66" spans="2:5" x14ac:dyDescent="0.25">
      <c r="B66" s="12" t="s">
        <v>146</v>
      </c>
      <c r="C66" s="86" t="s">
        <v>150</v>
      </c>
      <c r="D66" s="86" t="s">
        <v>151</v>
      </c>
      <c r="E66" s="87" t="s">
        <v>149</v>
      </c>
    </row>
    <row r="67" spans="2:5" x14ac:dyDescent="0.25">
      <c r="B67" s="29" t="s">
        <v>133</v>
      </c>
      <c r="C67" s="88">
        <v>1</v>
      </c>
      <c r="D67" s="89"/>
      <c r="E67" s="9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67"/>
  <sheetViews>
    <sheetView zoomScale="122" zoomScaleNormal="122" workbookViewId="0">
      <selection activeCell="A19" sqref="A19:XFD19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169</v>
      </c>
      <c r="R2" s="7" t="s">
        <v>94</v>
      </c>
    </row>
    <row r="3" spans="2:18" x14ac:dyDescent="0.25">
      <c r="C3" s="4"/>
      <c r="D3" s="28" t="s">
        <v>179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60" t="s">
        <v>49</v>
      </c>
      <c r="E4" s="57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1" t="s">
        <v>51</v>
      </c>
      <c r="D5" s="58">
        <f>'EBF TJ'!D5*0.2778</f>
        <v>4518.7614720000001</v>
      </c>
      <c r="E5" s="58">
        <f>'EBF TJ'!E5*0.2778</f>
        <v>0</v>
      </c>
      <c r="F5" s="58">
        <f>'EBF TJ'!F5*0.2778</f>
        <v>16772.152775999999</v>
      </c>
      <c r="G5" s="58">
        <f>'EBF TJ'!G5*0.2778</f>
        <v>35.002800000000001</v>
      </c>
      <c r="H5" s="58">
        <f>'EBF TJ'!H5*0.2778</f>
        <v>529.04232000000002</v>
      </c>
      <c r="I5" s="58">
        <f>'EBF TJ'!I5*0.2778</f>
        <v>482308.55715359998</v>
      </c>
      <c r="J5" s="58">
        <f>'EBF TJ'!J5*0.2778</f>
        <v>17336.197895999998</v>
      </c>
      <c r="K5" s="26">
        <f>SUM(D5:J5)</f>
        <v>521499.71441759996</v>
      </c>
      <c r="O5" s="5"/>
    </row>
    <row r="6" spans="2:18" ht="14.4" x14ac:dyDescent="0.3">
      <c r="B6" s="29" t="s">
        <v>52</v>
      </c>
      <c r="C6" s="61" t="s">
        <v>53</v>
      </c>
      <c r="D6" s="58">
        <f>'EBF TJ'!D6*0.2778</f>
        <v>3157.9140017999998</v>
      </c>
      <c r="E6" s="58">
        <f>'EBF TJ'!E6*0.2778</f>
        <v>59357.628230399998</v>
      </c>
      <c r="F6" s="25"/>
      <c r="G6" s="25"/>
      <c r="H6" s="25"/>
      <c r="I6" s="25"/>
      <c r="J6" s="58">
        <f>'EBF TJ'!J6*0.2778</f>
        <v>0</v>
      </c>
      <c r="K6" s="26">
        <f>SUM(D6:J6)</f>
        <v>62515.542232199994</v>
      </c>
    </row>
    <row r="7" spans="2:18" ht="14.4" x14ac:dyDescent="0.3">
      <c r="B7" s="29" t="s">
        <v>128</v>
      </c>
      <c r="C7" s="61" t="s">
        <v>132</v>
      </c>
      <c r="D7" s="58">
        <f>'EBF TJ'!D7*0.2778</f>
        <v>0</v>
      </c>
      <c r="E7" s="25"/>
      <c r="F7" s="25"/>
      <c r="G7" s="25"/>
      <c r="H7" s="25"/>
      <c r="I7" s="25"/>
      <c r="J7" s="58">
        <f>'EBF TJ'!J7*0.2778</f>
        <v>-1750.1399999999999</v>
      </c>
      <c r="K7" s="26"/>
    </row>
    <row r="8" spans="2:18" ht="14.4" x14ac:dyDescent="0.3">
      <c r="B8" s="56" t="s">
        <v>116</v>
      </c>
      <c r="C8" s="38" t="s">
        <v>117</v>
      </c>
      <c r="D8" s="38">
        <f>SUM(D5:D6)</f>
        <v>7676.6754738</v>
      </c>
      <c r="E8" s="38">
        <f t="shared" ref="E8:K8" si="0">SUM(E5:E6)</f>
        <v>59357.628230399998</v>
      </c>
      <c r="F8" s="38">
        <f t="shared" si="0"/>
        <v>16772.152775999999</v>
      </c>
      <c r="G8" s="38">
        <f>SUM(G5:G7)</f>
        <v>35.002800000000001</v>
      </c>
      <c r="H8" s="38">
        <f>SUM(H5:H7)</f>
        <v>529.04232000000002</v>
      </c>
      <c r="I8" s="38">
        <f>SUM(I5:I7)</f>
        <v>482308.55715359998</v>
      </c>
      <c r="J8" s="38">
        <f>SUM(J5+J6-J7)</f>
        <v>19086.337895999997</v>
      </c>
      <c r="K8" s="38">
        <f t="shared" si="0"/>
        <v>584015.25664979999</v>
      </c>
    </row>
    <row r="9" spans="2:18" x14ac:dyDescent="0.25">
      <c r="B9" s="23"/>
      <c r="C9" s="62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f>'EBF TJ'!J10*0.2778</f>
        <v>-58.060199999999995</v>
      </c>
      <c r="K10" s="31"/>
    </row>
    <row r="11" spans="2:18" ht="14.4" x14ac:dyDescent="0.3">
      <c r="B11" s="29" t="s">
        <v>46</v>
      </c>
      <c r="C11" s="43" t="s">
        <v>57</v>
      </c>
      <c r="D11" s="139"/>
      <c r="E11" s="139">
        <f>'EBF TJ'!E11*0.2778</f>
        <v>-2.0001600000000002</v>
      </c>
      <c r="F11" s="139">
        <f>'EBF TJ'!F11*0.2778</f>
        <v>-16772.152775999999</v>
      </c>
      <c r="G11" s="139"/>
      <c r="H11" s="139"/>
      <c r="I11" s="139"/>
      <c r="J11" s="139"/>
      <c r="K11" s="139"/>
    </row>
    <row r="12" spans="2:18" x14ac:dyDescent="0.25">
      <c r="B12" s="29" t="s">
        <v>58</v>
      </c>
      <c r="C12" s="43" t="s">
        <v>138</v>
      </c>
      <c r="D12" s="30">
        <f>'EBF TJ'!D12*0.2778</f>
        <v>-7676.7251999999999</v>
      </c>
      <c r="E12" s="30">
        <f>'EBF TJ'!E12*0.2778</f>
        <v>-59359.628390400001</v>
      </c>
      <c r="F12" s="30">
        <f>'EBF TJ'!F12*0.2778</f>
        <v>0</v>
      </c>
      <c r="G12" s="30">
        <f>'EBF TJ'!G12*0.2778</f>
        <v>0</v>
      </c>
      <c r="H12" s="30">
        <f>'EBF TJ'!H12*0.2778</f>
        <v>0</v>
      </c>
      <c r="I12" s="30">
        <f>'EBF TJ'!I12*0.2778</f>
        <v>-482308.55715359998</v>
      </c>
      <c r="J12" s="30">
        <f>'EBF TJ'!J12*0.2778</f>
        <v>0</v>
      </c>
      <c r="K12" s="31"/>
    </row>
    <row r="13" spans="2:18" ht="14.4" x14ac:dyDescent="0.3">
      <c r="B13" s="23"/>
      <c r="C13" s="38" t="s">
        <v>59</v>
      </c>
      <c r="D13" s="59">
        <f>SUM(D10:D12)</f>
        <v>-7676.7251999999999</v>
      </c>
      <c r="E13" s="40">
        <f>SUM(E10:E12)</f>
        <v>-59361.628550400004</v>
      </c>
      <c r="F13" s="40"/>
      <c r="G13" s="40"/>
      <c r="H13" s="40"/>
      <c r="I13" s="40"/>
      <c r="J13" s="40">
        <f>SUM(J10:J12)</f>
        <v>-58.060199999999995</v>
      </c>
      <c r="K13" s="41">
        <f>SUM(K10:K12)</f>
        <v>0</v>
      </c>
    </row>
    <row r="14" spans="2:18" x14ac:dyDescent="0.25">
      <c r="B14" s="23"/>
      <c r="C14" s="62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>
        <f>'EBF TJ'!D15*0.2778</f>
        <v>0</v>
      </c>
      <c r="E15" s="32">
        <f>'EBF TJ'!E15*0.2778</f>
        <v>1360.8177455999999</v>
      </c>
      <c r="F15" s="32">
        <f>'EBF TJ'!F15*0.2778</f>
        <v>0</v>
      </c>
      <c r="G15" s="32">
        <f>'EBF TJ'!G15*0.2778</f>
        <v>0</v>
      </c>
      <c r="H15" s="32">
        <f>'EBF TJ'!H15*0.2778</f>
        <v>0</v>
      </c>
      <c r="I15" s="32">
        <f>'EBF TJ'!I15*0.2778</f>
        <v>385711.09469699999</v>
      </c>
      <c r="J15" s="32">
        <f>'EBF TJ'!J15*0.2778</f>
        <v>6094.607529599999</v>
      </c>
      <c r="K15" s="34">
        <f t="shared" ref="K15:K24" si="1">SUM(D15:J15)</f>
        <v>393166.51997219998</v>
      </c>
    </row>
    <row r="16" spans="2:18" x14ac:dyDescent="0.25">
      <c r="B16" s="29" t="s">
        <v>63</v>
      </c>
      <c r="C16" s="45" t="s">
        <v>64</v>
      </c>
      <c r="D16" s="32">
        <f>'EBF TJ'!D16*0.2778</f>
        <v>0</v>
      </c>
      <c r="E16" s="32">
        <f>'EBF TJ'!E16*0.2778</f>
        <v>854.75004119999994</v>
      </c>
      <c r="F16" s="32">
        <f>'EBF TJ'!F16*0.2778</f>
        <v>0</v>
      </c>
      <c r="G16" s="32">
        <f>'EBF TJ'!G16*0.2778</f>
        <v>0</v>
      </c>
      <c r="H16" s="32">
        <f>'EBF TJ'!H16*0.2778</f>
        <v>0</v>
      </c>
      <c r="I16" s="32">
        <f>'EBF TJ'!I16*0.2778</f>
        <v>4175.4367860000002</v>
      </c>
      <c r="J16" s="32">
        <f>'EBF TJ'!J16*0.2778</f>
        <v>2570.4356183999998</v>
      </c>
      <c r="K16" s="34">
        <f t="shared" si="1"/>
        <v>7600.6224456</v>
      </c>
    </row>
    <row r="17" spans="2:12" x14ac:dyDescent="0.25">
      <c r="B17" s="29" t="s">
        <v>65</v>
      </c>
      <c r="C17" s="45" t="s">
        <v>66</v>
      </c>
      <c r="D17" s="32">
        <f>'EBF TJ'!D17*0.2778</f>
        <v>0</v>
      </c>
      <c r="E17" s="32">
        <f>'EBF TJ'!E17*0.2778</f>
        <v>0</v>
      </c>
      <c r="F17" s="32">
        <f>'EBF TJ'!F17*0.2778</f>
        <v>0</v>
      </c>
      <c r="G17" s="32">
        <f>'EBF TJ'!G17*0.2778</f>
        <v>0</v>
      </c>
      <c r="H17" s="32">
        <f>'EBF TJ'!H17*0.2778</f>
        <v>0</v>
      </c>
      <c r="I17" s="32">
        <f>'EBF TJ'!I17*0.2778</f>
        <v>0</v>
      </c>
      <c r="J17" s="32">
        <f>'EBF TJ'!J17*0.2778</f>
        <v>0</v>
      </c>
      <c r="K17" s="34">
        <f t="shared" si="1"/>
        <v>0</v>
      </c>
    </row>
    <row r="18" spans="2:12" x14ac:dyDescent="0.25">
      <c r="B18" s="29" t="s">
        <v>133</v>
      </c>
      <c r="C18" s="45" t="s">
        <v>134</v>
      </c>
      <c r="D18" s="32">
        <f>'EBF TJ'!D18*0.2778</f>
        <v>7676.8410426</v>
      </c>
      <c r="E18" s="32">
        <f>'EBF TJ'!E18*0.2778</f>
        <v>2605.3284096000002</v>
      </c>
      <c r="F18" s="32">
        <f>'EBF TJ'!F18*0.2778</f>
        <v>0</v>
      </c>
      <c r="G18" s="32">
        <f>'EBF TJ'!G18*0.2778</f>
        <v>0</v>
      </c>
      <c r="H18" s="32">
        <f>'EBF TJ'!H18*0.2778</f>
        <v>0</v>
      </c>
      <c r="I18" s="32">
        <f>'EBF TJ'!I18*0.2778</f>
        <v>0</v>
      </c>
      <c r="J18" s="32">
        <f>'EBF TJ'!J18*0.2778</f>
        <v>2861.7898970999995</v>
      </c>
      <c r="K18" s="34">
        <f t="shared" si="1"/>
        <v>13143.959349299999</v>
      </c>
    </row>
    <row r="19" spans="2:12" x14ac:dyDescent="0.25">
      <c r="B19" s="29" t="s">
        <v>135</v>
      </c>
      <c r="C19" s="45" t="s">
        <v>136</v>
      </c>
      <c r="D19" s="32">
        <f>'EBF TJ'!D19*0.2778</f>
        <v>0</v>
      </c>
      <c r="E19" s="32">
        <f>'EBF TJ'!E19*0.2778</f>
        <v>8782.1658503999988</v>
      </c>
      <c r="F19" s="32">
        <f>'EBF TJ'!F19*0.2778</f>
        <v>0</v>
      </c>
      <c r="G19" s="32">
        <f>'EBF TJ'!G19*0.2778</f>
        <v>0</v>
      </c>
      <c r="H19" s="32">
        <f>'EBF TJ'!H19*0.2778</f>
        <v>0</v>
      </c>
      <c r="I19" s="32">
        <f>'EBF TJ'!I19*0.2778</f>
        <v>0</v>
      </c>
      <c r="J19" s="32">
        <f>'EBF TJ'!J19*0.2778</f>
        <v>150.62052090000017</v>
      </c>
      <c r="K19" s="34">
        <f t="shared" si="1"/>
        <v>8932.7863712999988</v>
      </c>
    </row>
    <row r="20" spans="2:12" x14ac:dyDescent="0.25">
      <c r="B20" s="29" t="s">
        <v>67</v>
      </c>
      <c r="C20" s="45" t="s">
        <v>137</v>
      </c>
      <c r="D20" s="32">
        <f>'EBF TJ'!D20*0.2778</f>
        <v>0</v>
      </c>
      <c r="E20" s="32">
        <f>'EBF TJ'!E20*0.2778</f>
        <v>2025.1100514</v>
      </c>
      <c r="F20" s="32">
        <f>'EBF TJ'!F20*0.2778</f>
        <v>0</v>
      </c>
      <c r="G20" s="32">
        <f>'EBF TJ'!G20*0.2778</f>
        <v>0</v>
      </c>
      <c r="H20" s="32">
        <f>'EBF TJ'!H20*0.2778</f>
        <v>0</v>
      </c>
      <c r="I20" s="32">
        <f>'EBF TJ'!I20*0.2778</f>
        <v>0</v>
      </c>
      <c r="J20" s="32">
        <f>'EBF TJ'!J20*0.2778</f>
        <v>0</v>
      </c>
      <c r="K20" s="34">
        <f t="shared" si="1"/>
        <v>2025.1100514</v>
      </c>
    </row>
    <row r="21" spans="2:12" x14ac:dyDescent="0.25">
      <c r="B21" s="29" t="s">
        <v>68</v>
      </c>
      <c r="C21" s="45" t="s">
        <v>69</v>
      </c>
      <c r="D21" s="32">
        <f>'EBF TJ'!D21*0.2778</f>
        <v>0</v>
      </c>
      <c r="E21" s="32">
        <f>'EBF TJ'!E21*0.2778</f>
        <v>27881.631463199999</v>
      </c>
      <c r="F21" s="32">
        <f>'EBF TJ'!F21*0.2778</f>
        <v>0</v>
      </c>
      <c r="G21" s="32">
        <f>'EBF TJ'!G21*0.2778</f>
        <v>0</v>
      </c>
      <c r="H21" s="32">
        <f>'EBF TJ'!H21*0.2778</f>
        <v>0</v>
      </c>
      <c r="I21" s="32">
        <f>'EBF TJ'!I21*0.2778</f>
        <v>110.84970059999999</v>
      </c>
      <c r="J21" s="32">
        <f>'EBF TJ'!J21*0.2778</f>
        <v>46.523721600000002</v>
      </c>
      <c r="K21" s="34">
        <f t="shared" si="1"/>
        <v>28039.004885399998</v>
      </c>
    </row>
    <row r="22" spans="2:12" x14ac:dyDescent="0.25">
      <c r="B22" s="29" t="s">
        <v>70</v>
      </c>
      <c r="C22" s="46" t="s">
        <v>71</v>
      </c>
      <c r="D22" s="32">
        <f>'EBF TJ'!D22*0.2778</f>
        <v>0</v>
      </c>
      <c r="E22" s="32">
        <f>'EBF TJ'!E22*0.2778</f>
        <v>2025.1100514</v>
      </c>
      <c r="F22" s="32">
        <f>'EBF TJ'!F22*0.2778</f>
        <v>0</v>
      </c>
      <c r="G22" s="32">
        <f>'EBF TJ'!G22*0.2778</f>
        <v>0</v>
      </c>
      <c r="H22" s="32">
        <f>'EBF TJ'!H22*0.2778</f>
        <v>0</v>
      </c>
      <c r="I22" s="32">
        <f>'EBF TJ'!I22*0.2778</f>
        <v>0</v>
      </c>
      <c r="J22" s="32">
        <f>'EBF TJ'!J22*0.2778</f>
        <v>0</v>
      </c>
      <c r="K22" s="34">
        <f t="shared" si="1"/>
        <v>2025.1100514</v>
      </c>
    </row>
    <row r="23" spans="2:12" x14ac:dyDescent="0.25">
      <c r="B23" s="29" t="s">
        <v>83</v>
      </c>
      <c r="C23" s="45" t="s">
        <v>72</v>
      </c>
      <c r="D23" s="32"/>
      <c r="E23" s="74">
        <v>4304.424</v>
      </c>
      <c r="F23" s="74"/>
      <c r="G23" s="74"/>
      <c r="H23" s="74"/>
      <c r="I23" s="74"/>
      <c r="J23" s="74"/>
      <c r="K23" s="77">
        <f t="shared" si="1"/>
        <v>4304.424</v>
      </c>
    </row>
    <row r="24" spans="2:12" x14ac:dyDescent="0.25">
      <c r="B24" s="29" t="s">
        <v>84</v>
      </c>
      <c r="C24" s="45" t="s">
        <v>73</v>
      </c>
      <c r="D24" s="32"/>
      <c r="E24" s="33">
        <v>45897</v>
      </c>
      <c r="F24" s="33"/>
      <c r="G24" s="33"/>
      <c r="H24" s="33"/>
      <c r="I24" s="33"/>
      <c r="J24" s="33"/>
      <c r="K24" s="78">
        <f t="shared" si="1"/>
        <v>45897</v>
      </c>
    </row>
    <row r="25" spans="2:12" ht="14.4" x14ac:dyDescent="0.3">
      <c r="B25" s="56" t="s">
        <v>86</v>
      </c>
      <c r="C25" s="38" t="s">
        <v>118</v>
      </c>
      <c r="D25" s="36">
        <f t="shared" ref="D25:K25" si="2">SUM(D15:D24)</f>
        <v>7676.8410426</v>
      </c>
      <c r="E25" s="75">
        <f t="shared" si="2"/>
        <v>95736.337612799995</v>
      </c>
      <c r="F25" s="75"/>
      <c r="G25" s="75"/>
      <c r="H25" s="75"/>
      <c r="I25" s="75">
        <f>SUM(I15:I24)</f>
        <v>389997.38118359999</v>
      </c>
      <c r="J25" s="75">
        <f>SUM(J15:J24)</f>
        <v>11723.977287599999</v>
      </c>
      <c r="K25" s="76">
        <f t="shared" si="2"/>
        <v>505134.53712660004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165</v>
      </c>
      <c r="D37" s="13" t="s">
        <v>44</v>
      </c>
      <c r="E37" s="5" t="s">
        <v>164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0.43947549133545488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166</v>
      </c>
      <c r="D40" s="18">
        <f>D18/(D18+E18)</f>
        <v>0.7466168572973132</v>
      </c>
      <c r="E40" s="122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1" t="s">
        <v>48</v>
      </c>
    </row>
    <row r="46" spans="2:12" x14ac:dyDescent="0.25">
      <c r="B46" t="s">
        <v>133</v>
      </c>
      <c r="C46" t="s">
        <v>145</v>
      </c>
      <c r="D46" s="122">
        <f>D18/(D18+E18)</f>
        <v>0.7466168572973132</v>
      </c>
      <c r="E46" s="122"/>
      <c r="K46" s="128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167</v>
      </c>
      <c r="E47" s="122">
        <f>E18/(D18+E18)</f>
        <v>0.25338314270268686</v>
      </c>
      <c r="J47" s="122"/>
      <c r="K47" s="128">
        <f>SUM(D47:J47)</f>
        <v>0.25338314270268686</v>
      </c>
      <c r="L47" t="s">
        <v>168</v>
      </c>
    </row>
    <row r="48" spans="2:12" x14ac:dyDescent="0.25">
      <c r="B48" t="s">
        <v>133</v>
      </c>
      <c r="C48" t="s">
        <v>172</v>
      </c>
      <c r="J48" s="122">
        <v>1</v>
      </c>
      <c r="K48" s="128">
        <f>SUM(D48:J48)</f>
        <v>1</v>
      </c>
      <c r="L48" t="s">
        <v>173</v>
      </c>
    </row>
    <row r="49" spans="10:11" x14ac:dyDescent="0.25">
      <c r="J49" s="122"/>
      <c r="K49" s="128"/>
    </row>
    <row r="50" spans="10:11" x14ac:dyDescent="0.25">
      <c r="J50" s="122"/>
      <c r="K50" s="128"/>
    </row>
    <row r="51" spans="10:11" x14ac:dyDescent="0.25">
      <c r="J51" s="122"/>
      <c r="K51" s="128"/>
    </row>
    <row r="52" spans="10:11" x14ac:dyDescent="0.25">
      <c r="J52" s="122"/>
      <c r="K52" s="128"/>
    </row>
    <row r="53" spans="10:11" x14ac:dyDescent="0.25">
      <c r="J53" s="122"/>
      <c r="K53" s="128"/>
    </row>
    <row r="54" spans="10:11" x14ac:dyDescent="0.25">
      <c r="J54" s="122"/>
      <c r="K54" s="128"/>
    </row>
    <row r="55" spans="10:11" x14ac:dyDescent="0.25">
      <c r="J55" s="122"/>
      <c r="K55" s="128"/>
    </row>
    <row r="56" spans="10:11" x14ac:dyDescent="0.25">
      <c r="J56" s="122"/>
      <c r="K56" s="128"/>
    </row>
    <row r="57" spans="10:11" x14ac:dyDescent="0.25">
      <c r="J57" s="122"/>
      <c r="K57" s="128"/>
    </row>
    <row r="58" spans="10:11" x14ac:dyDescent="0.25">
      <c r="J58" s="122"/>
      <c r="K58" s="128"/>
    </row>
    <row r="59" spans="10:11" x14ac:dyDescent="0.25">
      <c r="J59" s="122"/>
      <c r="K59" s="128"/>
    </row>
    <row r="60" spans="10:11" x14ac:dyDescent="0.25">
      <c r="J60" s="122"/>
      <c r="K60" s="128"/>
    </row>
    <row r="61" spans="10:11" x14ac:dyDescent="0.25">
      <c r="J61" s="122"/>
      <c r="K61" s="128"/>
    </row>
    <row r="62" spans="10:11" x14ac:dyDescent="0.25">
      <c r="J62" s="122"/>
      <c r="K62" s="128"/>
    </row>
    <row r="63" spans="10:11" x14ac:dyDescent="0.25">
      <c r="J63" s="122"/>
      <c r="K63" s="128"/>
    </row>
    <row r="65" spans="2:5" x14ac:dyDescent="0.25">
      <c r="C65" s="83" t="s">
        <v>147</v>
      </c>
      <c r="D65" s="84" t="s">
        <v>148</v>
      </c>
      <c r="E65" s="85" t="s">
        <v>149</v>
      </c>
    </row>
    <row r="66" spans="2:5" x14ac:dyDescent="0.25">
      <c r="B66" s="12" t="s">
        <v>146</v>
      </c>
      <c r="C66" s="86" t="s">
        <v>150</v>
      </c>
      <c r="D66" s="86" t="s">
        <v>151</v>
      </c>
      <c r="E66" s="87" t="s">
        <v>149</v>
      </c>
    </row>
    <row r="67" spans="2:5" x14ac:dyDescent="0.25">
      <c r="B67" s="29" t="s">
        <v>133</v>
      </c>
      <c r="C67" s="88">
        <v>1</v>
      </c>
      <c r="D67" s="89"/>
      <c r="E67" s="90"/>
    </row>
  </sheetData>
  <phoneticPr fontId="2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zoomScaleNormal="100" workbookViewId="0">
      <selection activeCell="K2" sqref="K2:P3"/>
    </sheetView>
  </sheetViews>
  <sheetFormatPr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4" max="14" width="5.44140625" customWidth="1"/>
  </cols>
  <sheetData>
    <row r="2" spans="2:16" ht="17.399999999999999" x14ac:dyDescent="0.3">
      <c r="B2" s="51" t="s">
        <v>102</v>
      </c>
      <c r="K2" s="51" t="s">
        <v>122</v>
      </c>
    </row>
    <row r="3" spans="2:16" ht="17.399999999999999" x14ac:dyDescent="0.3">
      <c r="K3" s="51" t="s">
        <v>123</v>
      </c>
    </row>
    <row r="4" spans="2:16" x14ac:dyDescent="0.25">
      <c r="B4" s="20" t="s">
        <v>120</v>
      </c>
    </row>
    <row r="14" spans="2:16" ht="17.399999999999999" x14ac:dyDescent="0.3">
      <c r="B14" s="51" t="s">
        <v>101</v>
      </c>
    </row>
    <row r="16" spans="2:16" x14ac:dyDescent="0.25">
      <c r="D16" s="52" t="s">
        <v>119</v>
      </c>
      <c r="E16" s="52"/>
      <c r="F16" s="52"/>
      <c r="G16" s="52"/>
      <c r="H16" s="52"/>
      <c r="I16" s="52"/>
      <c r="J16" s="52"/>
      <c r="K16" s="52"/>
      <c r="L16" s="20"/>
      <c r="M16" s="20"/>
      <c r="N16" s="20"/>
      <c r="O16" s="20"/>
      <c r="P16" s="20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602B-9017-48E8-B4D5-63841A58EBF0}">
  <dimension ref="A1:U35"/>
  <sheetViews>
    <sheetView topLeftCell="C4" zoomScale="142" zoomScaleNormal="142" workbookViewId="0">
      <selection activeCell="L24" sqref="L24:O24"/>
    </sheetView>
  </sheetViews>
  <sheetFormatPr defaultRowHeight="13.2" x14ac:dyDescent="0.25"/>
  <cols>
    <col min="1" max="1" width="2" bestFit="1" customWidth="1"/>
    <col min="2" max="2" width="19.33203125" bestFit="1" customWidth="1"/>
    <col min="3" max="3" width="12.33203125" customWidth="1"/>
    <col min="4" max="4" width="18.77734375" bestFit="1" customWidth="1"/>
    <col min="5" max="5" width="7.554687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3.6640625" bestFit="1" customWidth="1"/>
    <col min="10" max="10" width="13.6640625" customWidth="1"/>
    <col min="11" max="11" width="2" customWidth="1"/>
    <col min="12" max="12" width="11.6640625" bestFit="1" customWidth="1"/>
    <col min="13" max="13" width="7.109375" customWidth="1"/>
    <col min="14" max="14" width="21.44140625" bestFit="1" customWidth="1"/>
    <col min="15" max="15" width="36.88671875" bestFit="1" customWidth="1"/>
    <col min="16" max="16" width="6.109375" customWidth="1"/>
    <col min="17" max="17" width="11.5546875" customWidth="1"/>
    <col min="18" max="18" width="12.88671875" bestFit="1" customWidth="1"/>
    <col min="19" max="19" width="13.33203125" bestFit="1" customWidth="1"/>
    <col min="20" max="20" width="19.44140625" bestFit="1" customWidth="1"/>
  </cols>
  <sheetData>
    <row r="1" spans="2:20" ht="28.8" x14ac:dyDescent="0.3">
      <c r="B1" s="19" t="s">
        <v>75</v>
      </c>
      <c r="C1" s="19" t="s">
        <v>76</v>
      </c>
      <c r="D1" s="19" t="s">
        <v>77</v>
      </c>
      <c r="E1" s="19" t="s">
        <v>78</v>
      </c>
      <c r="F1" s="11"/>
      <c r="G1" s="19" t="s">
        <v>79</v>
      </c>
    </row>
    <row r="2" spans="2:20" ht="15.6" x14ac:dyDescent="0.3">
      <c r="B2" s="7"/>
      <c r="C2" s="7" t="str">
        <f>EBF!D2</f>
        <v>COA</v>
      </c>
      <c r="D2" s="7" t="str">
        <f>EBF!D3</f>
        <v>Coal</v>
      </c>
      <c r="E2" s="7" t="s">
        <v>169</v>
      </c>
      <c r="G2" s="7" t="str">
        <f>EBF!P2</f>
        <v>TH$2022</v>
      </c>
      <c r="L2" s="66" t="s">
        <v>14</v>
      </c>
      <c r="M2" s="66"/>
      <c r="N2" s="67"/>
      <c r="O2" s="67"/>
      <c r="P2" s="67"/>
      <c r="Q2" s="67"/>
      <c r="R2" s="67"/>
      <c r="S2" s="67"/>
      <c r="T2" s="67"/>
    </row>
    <row r="3" spans="2:20" ht="15.6" x14ac:dyDescent="0.3">
      <c r="C3" t="s">
        <v>45</v>
      </c>
      <c r="D3" t="s">
        <v>164</v>
      </c>
      <c r="E3" s="7" t="s">
        <v>169</v>
      </c>
      <c r="G3" s="7" t="str">
        <f>EBF!P2</f>
        <v>TH$2022</v>
      </c>
      <c r="L3" s="68" t="s">
        <v>7</v>
      </c>
      <c r="M3" s="69" t="s">
        <v>30</v>
      </c>
      <c r="N3" s="68" t="s">
        <v>0</v>
      </c>
      <c r="O3" s="68" t="s">
        <v>3</v>
      </c>
      <c r="P3" s="68" t="s">
        <v>4</v>
      </c>
      <c r="Q3" s="68" t="s">
        <v>8</v>
      </c>
      <c r="R3" s="68" t="s">
        <v>9</v>
      </c>
      <c r="S3" s="68" t="s">
        <v>10</v>
      </c>
      <c r="T3" s="68" t="s">
        <v>12</v>
      </c>
    </row>
    <row r="4" spans="2:20" ht="22.2" thickBot="1" x14ac:dyDescent="0.35">
      <c r="C4" s="1" t="s">
        <v>271</v>
      </c>
      <c r="D4" s="1" t="s">
        <v>272</v>
      </c>
      <c r="E4" s="82" t="s">
        <v>169</v>
      </c>
      <c r="G4" s="7" t="str">
        <f>EBF!P2</f>
        <v>TH$2022</v>
      </c>
      <c r="L4" s="70" t="s">
        <v>37</v>
      </c>
      <c r="M4" s="70" t="s">
        <v>31</v>
      </c>
      <c r="N4" s="70" t="s">
        <v>26</v>
      </c>
      <c r="O4" s="70" t="s">
        <v>27</v>
      </c>
      <c r="P4" s="70" t="s">
        <v>4</v>
      </c>
      <c r="Q4" s="70" t="s">
        <v>40</v>
      </c>
      <c r="R4" s="70" t="s">
        <v>41</v>
      </c>
      <c r="S4" s="70" t="s">
        <v>28</v>
      </c>
      <c r="T4" s="70" t="s">
        <v>29</v>
      </c>
    </row>
    <row r="5" spans="2:20" ht="15.6" x14ac:dyDescent="0.3">
      <c r="C5" s="1"/>
      <c r="D5" s="1"/>
      <c r="E5" s="82"/>
      <c r="L5" s="67" t="s">
        <v>74</v>
      </c>
      <c r="M5" s="71"/>
      <c r="N5" s="67" t="s">
        <v>153</v>
      </c>
      <c r="O5" s="67" t="s">
        <v>176</v>
      </c>
      <c r="P5" s="67" t="s">
        <v>169</v>
      </c>
      <c r="Q5" s="67" t="s">
        <v>183</v>
      </c>
      <c r="R5" s="67"/>
      <c r="S5" s="67"/>
      <c r="T5" s="67" t="s">
        <v>184</v>
      </c>
    </row>
    <row r="6" spans="2:20" x14ac:dyDescent="0.25">
      <c r="C6" s="1"/>
      <c r="D6" s="1"/>
      <c r="L6" s="67" t="s">
        <v>74</v>
      </c>
      <c r="M6" s="71"/>
      <c r="N6" s="67" t="s">
        <v>154</v>
      </c>
      <c r="O6" s="67" t="s">
        <v>177</v>
      </c>
      <c r="P6" s="67" t="s">
        <v>169</v>
      </c>
      <c r="Q6" s="67" t="s">
        <v>183</v>
      </c>
      <c r="R6" s="67"/>
      <c r="S6" s="67"/>
      <c r="T6" s="67" t="s">
        <v>184</v>
      </c>
    </row>
    <row r="7" spans="2:20" x14ac:dyDescent="0.25">
      <c r="C7" t="s">
        <v>131</v>
      </c>
      <c r="D7" t="s">
        <v>124</v>
      </c>
      <c r="E7" t="s">
        <v>169</v>
      </c>
      <c r="G7" t="s">
        <v>125</v>
      </c>
      <c r="L7" s="67" t="s">
        <v>74</v>
      </c>
      <c r="M7" s="71"/>
      <c r="N7" s="67" t="s">
        <v>174</v>
      </c>
      <c r="O7" s="67" t="s">
        <v>178</v>
      </c>
      <c r="P7" s="67" t="s">
        <v>169</v>
      </c>
      <c r="Q7" s="67" t="s">
        <v>183</v>
      </c>
      <c r="R7" s="67"/>
      <c r="S7" s="67"/>
      <c r="T7" s="67" t="s">
        <v>184</v>
      </c>
    </row>
    <row r="8" spans="2:20" x14ac:dyDescent="0.25">
      <c r="L8" s="67" t="s">
        <v>46</v>
      </c>
      <c r="M8" s="71"/>
      <c r="N8" s="67" t="s">
        <v>271</v>
      </c>
      <c r="O8" s="67" t="s">
        <v>267</v>
      </c>
      <c r="P8" s="67" t="s">
        <v>169</v>
      </c>
      <c r="Q8" s="67" t="s">
        <v>183</v>
      </c>
      <c r="R8" s="67"/>
      <c r="S8" s="67"/>
      <c r="T8" s="67" t="s">
        <v>46</v>
      </c>
    </row>
    <row r="10" spans="2:20" x14ac:dyDescent="0.25">
      <c r="L10" s="67" t="s">
        <v>82</v>
      </c>
      <c r="M10" s="71"/>
      <c r="N10" s="67" t="s">
        <v>180</v>
      </c>
      <c r="O10" s="67" t="s">
        <v>263</v>
      </c>
      <c r="P10" s="67" t="s">
        <v>169</v>
      </c>
      <c r="Q10" s="67" t="s">
        <v>183</v>
      </c>
      <c r="R10" s="67"/>
      <c r="S10" s="67"/>
      <c r="T10" s="67" t="s">
        <v>184</v>
      </c>
    </row>
    <row r="11" spans="2:20" x14ac:dyDescent="0.25">
      <c r="L11" s="67" t="s">
        <v>82</v>
      </c>
      <c r="M11" s="71"/>
      <c r="N11" s="67" t="s">
        <v>175</v>
      </c>
      <c r="O11" s="67" t="s">
        <v>262</v>
      </c>
      <c r="P11" s="67" t="s">
        <v>169</v>
      </c>
      <c r="Q11" s="67" t="s">
        <v>183</v>
      </c>
      <c r="R11" s="67"/>
      <c r="S11" s="67"/>
      <c r="T11" s="67" t="s">
        <v>46</v>
      </c>
    </row>
    <row r="12" spans="2:20" x14ac:dyDescent="0.25">
      <c r="L12" s="67" t="s">
        <v>74</v>
      </c>
      <c r="M12" s="71"/>
      <c r="N12" s="67" t="s">
        <v>251</v>
      </c>
      <c r="O12" s="67" t="s">
        <v>258</v>
      </c>
      <c r="P12" s="67" t="s">
        <v>169</v>
      </c>
      <c r="Q12" s="67" t="s">
        <v>183</v>
      </c>
      <c r="R12" s="67"/>
      <c r="S12" s="67"/>
      <c r="T12" s="67"/>
    </row>
    <row r="13" spans="2:20" x14ac:dyDescent="0.25">
      <c r="L13" s="67" t="s">
        <v>82</v>
      </c>
      <c r="M13" s="71"/>
      <c r="N13" s="67" t="s">
        <v>259</v>
      </c>
      <c r="O13" s="67" t="s">
        <v>260</v>
      </c>
      <c r="P13" s="67" t="s">
        <v>169</v>
      </c>
      <c r="Q13" s="67" t="s">
        <v>183</v>
      </c>
      <c r="R13" s="67"/>
      <c r="S13" s="67"/>
      <c r="T13" s="67"/>
    </row>
    <row r="14" spans="2:20" x14ac:dyDescent="0.25">
      <c r="L14" s="67" t="s">
        <v>82</v>
      </c>
      <c r="M14" s="71"/>
      <c r="N14" s="67" t="s">
        <v>252</v>
      </c>
      <c r="O14" s="67" t="s">
        <v>261</v>
      </c>
      <c r="P14" s="67" t="s">
        <v>169</v>
      </c>
      <c r="Q14" s="67" t="s">
        <v>183</v>
      </c>
      <c r="R14" s="67"/>
      <c r="S14" s="67"/>
      <c r="T14" s="67"/>
    </row>
    <row r="15" spans="2:20" x14ac:dyDescent="0.25">
      <c r="L15" s="67"/>
      <c r="M15" s="71"/>
      <c r="N15" s="67"/>
      <c r="O15" s="67"/>
      <c r="P15" s="67"/>
      <c r="Q15" s="67"/>
      <c r="R15" s="67"/>
      <c r="S15" s="67"/>
      <c r="T15" s="67"/>
    </row>
    <row r="16" spans="2:20" x14ac:dyDescent="0.25">
      <c r="L16" s="1"/>
      <c r="N16" s="1"/>
      <c r="O16" s="1"/>
      <c r="P16" s="1"/>
      <c r="Q16" s="1"/>
      <c r="R16" s="1"/>
      <c r="S16" s="1"/>
      <c r="T16" s="1"/>
    </row>
    <row r="17" spans="2:20" x14ac:dyDescent="0.25">
      <c r="F17" s="3" t="s">
        <v>13</v>
      </c>
      <c r="H17" s="3"/>
      <c r="L17" s="66" t="s">
        <v>15</v>
      </c>
      <c r="M17" s="66"/>
      <c r="N17" s="71"/>
      <c r="O17" s="71"/>
      <c r="P17" s="71"/>
      <c r="Q17" s="71"/>
      <c r="R17" s="71"/>
      <c r="S17" s="71"/>
      <c r="T17" s="71"/>
    </row>
    <row r="18" spans="2:20" x14ac:dyDescent="0.25">
      <c r="B18" s="2" t="s">
        <v>1</v>
      </c>
      <c r="C18" s="10" t="s">
        <v>5</v>
      </c>
      <c r="D18" s="2" t="s">
        <v>6</v>
      </c>
      <c r="E18" s="2" t="s">
        <v>97</v>
      </c>
      <c r="F18" s="2" t="s">
        <v>8</v>
      </c>
      <c r="G18" s="65" t="s">
        <v>34</v>
      </c>
      <c r="H18" s="65" t="s">
        <v>35</v>
      </c>
      <c r="I18" s="65" t="s">
        <v>80</v>
      </c>
      <c r="J18" s="79" t="s">
        <v>170</v>
      </c>
      <c r="L18" s="68" t="s">
        <v>11</v>
      </c>
      <c r="M18" s="69" t="s">
        <v>30</v>
      </c>
      <c r="N18" s="68" t="s">
        <v>1</v>
      </c>
      <c r="O18" s="68" t="s">
        <v>2</v>
      </c>
      <c r="P18" s="68" t="s">
        <v>16</v>
      </c>
      <c r="Q18" s="68" t="s">
        <v>17</v>
      </c>
      <c r="R18" s="68" t="s">
        <v>18</v>
      </c>
      <c r="S18" s="68" t="s">
        <v>19</v>
      </c>
      <c r="T18" s="68" t="s">
        <v>20</v>
      </c>
    </row>
    <row r="19" spans="2:20" ht="21.6" thickBot="1" x14ac:dyDescent="0.3">
      <c r="B19" s="9" t="s">
        <v>39</v>
      </c>
      <c r="C19" s="9" t="s">
        <v>32</v>
      </c>
      <c r="D19" s="9" t="s">
        <v>33</v>
      </c>
      <c r="E19" s="9"/>
      <c r="F19" s="9"/>
      <c r="G19" s="9" t="s">
        <v>36</v>
      </c>
      <c r="H19" s="9" t="s">
        <v>89</v>
      </c>
      <c r="I19" s="9" t="s">
        <v>88</v>
      </c>
      <c r="J19" s="80" t="s">
        <v>171</v>
      </c>
      <c r="L19" s="70" t="s">
        <v>38</v>
      </c>
      <c r="M19" s="70" t="s">
        <v>31</v>
      </c>
      <c r="N19" s="70" t="s">
        <v>21</v>
      </c>
      <c r="O19" s="70" t="s">
        <v>22</v>
      </c>
      <c r="P19" s="70" t="s">
        <v>23</v>
      </c>
      <c r="Q19" s="70" t="s">
        <v>24</v>
      </c>
      <c r="R19" s="70" t="s">
        <v>43</v>
      </c>
      <c r="S19" s="70" t="s">
        <v>42</v>
      </c>
      <c r="T19" s="70" t="s">
        <v>25</v>
      </c>
    </row>
    <row r="20" spans="2:20" ht="21.6" thickBot="1" x14ac:dyDescent="0.3">
      <c r="B20" s="9" t="s">
        <v>87</v>
      </c>
      <c r="C20" s="8"/>
      <c r="D20" s="8"/>
      <c r="E20" s="8"/>
      <c r="F20" s="8"/>
      <c r="G20" s="8" t="str">
        <f>$E$2</f>
        <v>GWh</v>
      </c>
      <c r="H20" s="8" t="s">
        <v>247</v>
      </c>
      <c r="I20" s="8" t="str">
        <f>$E$2</f>
        <v>GWh</v>
      </c>
      <c r="J20" s="81"/>
      <c r="L20" s="70" t="s">
        <v>81</v>
      </c>
      <c r="M20" s="72"/>
      <c r="N20" s="72"/>
      <c r="O20" s="72"/>
      <c r="P20" s="72"/>
      <c r="Q20" s="72"/>
      <c r="R20" s="72"/>
      <c r="S20" s="72"/>
      <c r="T20" s="72"/>
    </row>
    <row r="21" spans="2:20" x14ac:dyDescent="0.25">
      <c r="B21" s="67" t="str">
        <f>N21</f>
        <v>MINCOA</v>
      </c>
      <c r="C21" s="1"/>
      <c r="D21" s="67" t="str">
        <f>N5</f>
        <v>MANCOALMIN</v>
      </c>
      <c r="E21" s="1">
        <v>2022</v>
      </c>
      <c r="F21" s="1" t="s">
        <v>103</v>
      </c>
      <c r="G21" s="49">
        <v>2673000</v>
      </c>
      <c r="H21" s="50">
        <v>4.5449999999999999</v>
      </c>
      <c r="I21" s="92">
        <f>EBF!D5</f>
        <v>4518.7614720000001</v>
      </c>
      <c r="J21" s="129">
        <v>8.76</v>
      </c>
      <c r="L21" s="67" t="str">
        <f>EBF!$B$5</f>
        <v>MIN</v>
      </c>
      <c r="M21" s="71"/>
      <c r="N21" s="71" t="str">
        <f>$L$21&amp;$C$2</f>
        <v>MINCOA</v>
      </c>
      <c r="O21" s="73" t="str">
        <f>"Domestic Supply of "&amp;$D$2&amp;" "</f>
        <v xml:space="preserve">Domestic Supply of Coal </v>
      </c>
      <c r="P21" s="71" t="s">
        <v>169</v>
      </c>
      <c r="Q21" s="71"/>
      <c r="R21" s="71"/>
      <c r="S21" s="71"/>
      <c r="T21" s="71"/>
    </row>
    <row r="22" spans="2:20" x14ac:dyDescent="0.25">
      <c r="B22" s="67" t="str">
        <f t="shared" ref="B22:B23" si="0">N22</f>
        <v>IMPCOA</v>
      </c>
      <c r="C22" s="1"/>
      <c r="D22" s="67" t="str">
        <f>N6</f>
        <v>MANCOALIMP</v>
      </c>
      <c r="E22" s="1">
        <v>2022</v>
      </c>
      <c r="F22" s="1" t="s">
        <v>103</v>
      </c>
      <c r="G22" s="63"/>
      <c r="H22" s="64">
        <v>21.004999999999999</v>
      </c>
      <c r="I22" s="93">
        <f>EBF!D6</f>
        <v>3157.9140017999998</v>
      </c>
      <c r="J22" s="129">
        <v>8.76</v>
      </c>
      <c r="L22" s="71" t="str">
        <f>EBF!$B$6</f>
        <v>IMP</v>
      </c>
      <c r="M22" s="71"/>
      <c r="N22" s="71" t="str">
        <f>$L$22&amp;$C$2</f>
        <v>IMPCOA</v>
      </c>
      <c r="O22" s="73" t="str">
        <f>"Import of "&amp;$D$2&amp;" "</f>
        <v xml:space="preserve">Import of Coal </v>
      </c>
      <c r="P22" s="71" t="s">
        <v>169</v>
      </c>
      <c r="Q22" s="71"/>
      <c r="R22" s="71"/>
      <c r="S22" s="71"/>
      <c r="T22" s="71"/>
    </row>
    <row r="23" spans="2:20" x14ac:dyDescent="0.25">
      <c r="B23" s="67" t="str">
        <f t="shared" si="0"/>
        <v>IMPOIL</v>
      </c>
      <c r="C23" s="1"/>
      <c r="D23" s="67" t="str">
        <f t="shared" ref="D23" si="1">N7</f>
        <v>MANOILIMP</v>
      </c>
      <c r="E23" s="1">
        <v>2022</v>
      </c>
      <c r="F23" s="1" t="s">
        <v>103</v>
      </c>
      <c r="H23" s="50">
        <v>29.234999999999999</v>
      </c>
      <c r="I23" s="93">
        <f>EBF!E18</f>
        <v>2605.3284096000002</v>
      </c>
      <c r="J23" s="129">
        <v>8.76</v>
      </c>
      <c r="L23" t="str">
        <f>EBF!B6</f>
        <v>IMP</v>
      </c>
      <c r="N23" s="71" t="str">
        <f>$L$23&amp;$C$3</f>
        <v>IMPOIL</v>
      </c>
      <c r="O23" s="73" t="str">
        <f>"Import of "&amp;$D$3&amp;" "</f>
        <v xml:space="preserve">Import of Oil </v>
      </c>
      <c r="P23" t="s">
        <v>169</v>
      </c>
    </row>
    <row r="24" spans="2:20" x14ac:dyDescent="0.25">
      <c r="B24" s="67" t="s">
        <v>46</v>
      </c>
      <c r="C24" s="71" t="str">
        <f>N8</f>
        <v>GRIDELC</v>
      </c>
      <c r="D24" s="67" t="s">
        <v>175</v>
      </c>
      <c r="E24" s="1">
        <v>2022</v>
      </c>
      <c r="F24" s="1" t="s">
        <v>103</v>
      </c>
      <c r="H24" s="50">
        <v>100</v>
      </c>
      <c r="I24" s="93">
        <f>EBF!J18</f>
        <v>2861.7898970999995</v>
      </c>
      <c r="J24" s="129">
        <v>8.76</v>
      </c>
      <c r="N24" s="71"/>
      <c r="O24" s="73"/>
    </row>
    <row r="25" spans="2:20" x14ac:dyDescent="0.25">
      <c r="B25" s="67"/>
      <c r="D25" s="67"/>
      <c r="E25" s="1"/>
      <c r="F25" s="1"/>
      <c r="H25" s="50"/>
      <c r="I25" s="93"/>
      <c r="J25" s="129"/>
      <c r="N25" s="71"/>
      <c r="O25" s="73"/>
    </row>
    <row r="26" spans="2:20" x14ac:dyDescent="0.25">
      <c r="B26" s="67"/>
      <c r="D26" s="67"/>
      <c r="E26" s="1"/>
      <c r="F26" s="1"/>
      <c r="H26" s="50"/>
      <c r="I26" s="93"/>
      <c r="J26" s="129"/>
      <c r="N26" s="71"/>
      <c r="O26" s="73"/>
    </row>
    <row r="27" spans="2:20" x14ac:dyDescent="0.25">
      <c r="B27" s="67" t="str">
        <f>N23</f>
        <v>IMPOIL</v>
      </c>
      <c r="D27" s="67" t="str">
        <f>N13</f>
        <v>CONMDRIVE</v>
      </c>
      <c r="E27" s="1">
        <v>2022</v>
      </c>
      <c r="F27" s="1"/>
      <c r="H27" s="50">
        <f>H23</f>
        <v>29.234999999999999</v>
      </c>
      <c r="I27" s="93">
        <f>EBF!E19</f>
        <v>8782.1658503999988</v>
      </c>
      <c r="J27" s="129">
        <v>8.76</v>
      </c>
      <c r="N27" s="71"/>
      <c r="O27" s="73"/>
    </row>
    <row r="28" spans="2:20" x14ac:dyDescent="0.25">
      <c r="B28" s="67" t="s">
        <v>271</v>
      </c>
      <c r="D28" s="67" t="str">
        <f>N14</f>
        <v>CONELC</v>
      </c>
      <c r="E28" s="1">
        <v>2022</v>
      </c>
      <c r="F28" s="1"/>
      <c r="H28" s="50">
        <f>H24</f>
        <v>100</v>
      </c>
      <c r="I28" s="93">
        <f>EBF!J19</f>
        <v>150.62052090000017</v>
      </c>
      <c r="J28" s="129">
        <v>8.76</v>
      </c>
      <c r="N28" s="71"/>
      <c r="O28" s="73"/>
    </row>
    <row r="30" spans="2:20" x14ac:dyDescent="0.25">
      <c r="B30" s="49"/>
      <c r="C30" s="1" t="s">
        <v>99</v>
      </c>
    </row>
    <row r="31" spans="2:20" x14ac:dyDescent="0.25">
      <c r="B31" s="48"/>
      <c r="C31" s="1" t="s">
        <v>100</v>
      </c>
    </row>
    <row r="33" spans="1:21" s="1" customForma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</row>
    <row r="34" spans="1:21" x14ac:dyDescent="0.25">
      <c r="U34" s="1"/>
    </row>
    <row r="35" spans="1:21" x14ac:dyDescent="0.25">
      <c r="A35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E4F-5A92-46AB-9A10-74ADD64337C0}">
  <dimension ref="B1:X30"/>
  <sheetViews>
    <sheetView tabSelected="1" topLeftCell="F2" zoomScale="118" zoomScaleNormal="118" workbookViewId="0">
      <selection activeCell="P21" sqref="P21:U21"/>
    </sheetView>
  </sheetViews>
  <sheetFormatPr defaultRowHeight="13.2" x14ac:dyDescent="0.25"/>
  <cols>
    <col min="1" max="1" width="3" style="94" customWidth="1"/>
    <col min="2" max="2" width="12.109375" style="94" bestFit="1" customWidth="1"/>
    <col min="3" max="3" width="25.21875" style="94" bestFit="1" customWidth="1"/>
    <col min="4" max="4" width="13.88671875" style="94" bestFit="1" customWidth="1"/>
    <col min="5" max="5" width="20" style="94" bestFit="1" customWidth="1"/>
    <col min="6" max="6" width="13.109375" style="94" bestFit="1" customWidth="1"/>
    <col min="7" max="7" width="9.5546875" style="94" bestFit="1" customWidth="1"/>
    <col min="8" max="8" width="16.109375" style="94" bestFit="1" customWidth="1"/>
    <col min="9" max="9" width="16.109375" style="94" customWidth="1"/>
    <col min="10" max="10" width="7.88671875" style="94" bestFit="1" customWidth="1"/>
    <col min="11" max="11" width="8.109375" style="94" customWidth="1"/>
    <col min="12" max="12" width="9.5546875" style="94" bestFit="1" customWidth="1"/>
    <col min="13" max="15" width="8.109375" style="94" customWidth="1"/>
    <col min="16" max="16" width="12.6640625" style="94" bestFit="1" customWidth="1"/>
    <col min="17" max="17" width="7.109375" style="94" customWidth="1"/>
    <col min="18" max="18" width="11.44140625" style="94" bestFit="1" customWidth="1"/>
    <col min="19" max="19" width="63.88671875" style="94" bestFit="1" customWidth="1"/>
    <col min="20" max="20" width="8.21875" style="94" bestFit="1" customWidth="1"/>
    <col min="21" max="21" width="11.6640625" style="94" customWidth="1"/>
    <col min="22" max="22" width="13.44140625" style="94" customWidth="1"/>
    <col min="23" max="23" width="13.88671875" style="94" customWidth="1"/>
    <col min="24" max="24" width="8.44140625" style="94" customWidth="1"/>
    <col min="25" max="16384" width="8.88671875" style="94"/>
  </cols>
  <sheetData>
    <row r="1" spans="2:24" ht="14.4" x14ac:dyDescent="0.3">
      <c r="B1" s="6" t="s">
        <v>75</v>
      </c>
      <c r="C1" s="6" t="s">
        <v>77</v>
      </c>
      <c r="D1" s="6" t="s">
        <v>104</v>
      </c>
      <c r="E1" s="6" t="s">
        <v>78</v>
      </c>
      <c r="F1" s="6" t="s">
        <v>79</v>
      </c>
      <c r="G1" s="6"/>
      <c r="H1" s="6"/>
      <c r="I1" s="6"/>
      <c r="J1" s="6" t="s">
        <v>105</v>
      </c>
    </row>
    <row r="2" spans="2:24" ht="31.2" x14ac:dyDescent="0.3">
      <c r="B2" s="7" t="str">
        <f>EBF!B18</f>
        <v>MAN</v>
      </c>
      <c r="C2" s="7" t="str">
        <f>EBF!C18</f>
        <v>Manufacturing</v>
      </c>
      <c r="D2" s="53" t="str">
        <f>"Demand Technologies"</f>
        <v>Demand Technologies</v>
      </c>
      <c r="E2" s="7" t="str">
        <f>EBF!Q2</f>
        <v>GWh</v>
      </c>
      <c r="F2" s="7" t="str">
        <f>EBF!P2</f>
        <v>TH$2022</v>
      </c>
      <c r="G2" s="7"/>
      <c r="H2" s="7"/>
      <c r="I2" s="7"/>
      <c r="J2" s="7" t="s">
        <v>106</v>
      </c>
      <c r="P2" s="95" t="s">
        <v>14</v>
      </c>
      <c r="Q2" s="95"/>
      <c r="R2" s="96"/>
      <c r="S2" s="96"/>
      <c r="T2" s="96"/>
      <c r="U2" s="96"/>
      <c r="V2" s="96"/>
      <c r="W2" s="96"/>
      <c r="X2" s="96"/>
    </row>
    <row r="3" spans="2:24" x14ac:dyDescent="0.25">
      <c r="P3" s="97" t="s">
        <v>7</v>
      </c>
      <c r="Q3" s="98" t="s">
        <v>30</v>
      </c>
      <c r="R3" s="97" t="s">
        <v>0</v>
      </c>
      <c r="S3" s="97" t="s">
        <v>3</v>
      </c>
      <c r="T3" s="97" t="s">
        <v>4</v>
      </c>
      <c r="U3" s="97" t="s">
        <v>8</v>
      </c>
      <c r="V3" s="97" t="s">
        <v>9</v>
      </c>
      <c r="W3" s="97" t="s">
        <v>10</v>
      </c>
      <c r="X3" s="97" t="s">
        <v>12</v>
      </c>
    </row>
    <row r="4" spans="2:24" ht="22.2" thickBot="1" x14ac:dyDescent="0.35">
      <c r="B4" s="54"/>
      <c r="C4" s="54"/>
      <c r="D4" s="54"/>
      <c r="E4" s="54"/>
      <c r="F4" s="54"/>
      <c r="G4" s="54"/>
      <c r="H4" s="54"/>
      <c r="I4" s="54"/>
      <c r="P4" s="99" t="s">
        <v>37</v>
      </c>
      <c r="Q4" s="99" t="s">
        <v>31</v>
      </c>
      <c r="R4" s="99" t="s">
        <v>26</v>
      </c>
      <c r="S4" s="99" t="s">
        <v>27</v>
      </c>
      <c r="T4" s="99" t="s">
        <v>4</v>
      </c>
      <c r="U4" s="99" t="s">
        <v>40</v>
      </c>
      <c r="V4" s="99" t="s">
        <v>41</v>
      </c>
      <c r="W4" s="99" t="s">
        <v>28</v>
      </c>
      <c r="X4" s="99" t="s">
        <v>29</v>
      </c>
    </row>
    <row r="5" spans="2:24" ht="15.6" x14ac:dyDescent="0.3">
      <c r="B5" s="54"/>
      <c r="C5" s="54"/>
      <c r="D5" s="54"/>
      <c r="E5" s="54"/>
      <c r="F5" s="54"/>
      <c r="G5" s="54"/>
      <c r="H5" s="54"/>
      <c r="I5" s="54"/>
      <c r="P5" s="96" t="s">
        <v>82</v>
      </c>
      <c r="Q5" s="96"/>
      <c r="R5" s="96" t="s">
        <v>180</v>
      </c>
      <c r="S5" s="96" t="s">
        <v>181</v>
      </c>
      <c r="T5" s="96" t="s">
        <v>169</v>
      </c>
      <c r="U5" s="96" t="s">
        <v>183</v>
      </c>
      <c r="V5" s="96"/>
      <c r="W5" s="96"/>
      <c r="X5" s="96" t="s">
        <v>184</v>
      </c>
    </row>
    <row r="6" spans="2:24" ht="15.6" x14ac:dyDescent="0.3">
      <c r="B6" s="54"/>
      <c r="C6" s="54"/>
      <c r="D6" s="54"/>
      <c r="E6" s="54"/>
      <c r="F6" s="54"/>
      <c r="G6" s="54"/>
      <c r="H6" s="54"/>
      <c r="I6" s="54"/>
      <c r="P6" s="96" t="s">
        <v>82</v>
      </c>
      <c r="Q6" s="96"/>
      <c r="R6" s="96" t="s">
        <v>175</v>
      </c>
      <c r="S6" s="96" t="s">
        <v>182</v>
      </c>
      <c r="T6" s="96" t="s">
        <v>169</v>
      </c>
      <c r="U6" s="96" t="s">
        <v>183</v>
      </c>
      <c r="V6" s="96"/>
      <c r="W6" s="96"/>
      <c r="X6" s="96" t="s">
        <v>46</v>
      </c>
    </row>
    <row r="7" spans="2:24" x14ac:dyDescent="0.25">
      <c r="P7" s="96" t="s">
        <v>155</v>
      </c>
      <c r="Q7" s="96"/>
      <c r="R7" s="96" t="str">
        <f>$B$2&amp;EBF!C65</f>
        <v>MANCO2</v>
      </c>
      <c r="S7" s="96" t="str">
        <f>$C$2&amp;" "&amp;EBF!C65</f>
        <v>Manufacturing CO2</v>
      </c>
      <c r="T7" s="96" t="str">
        <f>EBF!R2</f>
        <v>kt</v>
      </c>
      <c r="U7" s="96"/>
      <c r="V7" s="96"/>
      <c r="W7" s="96"/>
      <c r="X7" s="96"/>
    </row>
    <row r="8" spans="2:24" x14ac:dyDescent="0.25">
      <c r="P8" s="96"/>
      <c r="Q8" s="96"/>
      <c r="R8" s="96"/>
      <c r="S8" s="96"/>
      <c r="T8" s="96"/>
      <c r="U8" s="96"/>
      <c r="V8" s="96"/>
      <c r="W8" s="96"/>
      <c r="X8" s="96"/>
    </row>
    <row r="9" spans="2:24" x14ac:dyDescent="0.25">
      <c r="P9" s="96" t="s">
        <v>82</v>
      </c>
      <c r="Q9" s="96"/>
      <c r="R9" s="96" t="s">
        <v>252</v>
      </c>
      <c r="S9" s="96" t="s">
        <v>254</v>
      </c>
      <c r="T9" s="96" t="s">
        <v>169</v>
      </c>
      <c r="U9" s="96" t="s">
        <v>183</v>
      </c>
      <c r="V9" s="96"/>
      <c r="W9" s="96"/>
      <c r="X9" s="96"/>
    </row>
    <row r="10" spans="2:24" x14ac:dyDescent="0.25">
      <c r="P10" s="96" t="s">
        <v>82</v>
      </c>
      <c r="Q10" s="96"/>
      <c r="R10" s="96" t="s">
        <v>251</v>
      </c>
      <c r="S10" s="96" t="s">
        <v>253</v>
      </c>
      <c r="T10" s="96" t="s">
        <v>169</v>
      </c>
      <c r="U10" s="96" t="s">
        <v>183</v>
      </c>
      <c r="V10" s="96"/>
      <c r="W10" s="96"/>
      <c r="X10" s="96"/>
    </row>
    <row r="11" spans="2:24" ht="14.4" x14ac:dyDescent="0.3">
      <c r="H11" s="100" t="s">
        <v>156</v>
      </c>
      <c r="I11" s="100"/>
    </row>
    <row r="12" spans="2:24" ht="14.4" x14ac:dyDescent="0.3">
      <c r="D12" s="3" t="s">
        <v>13</v>
      </c>
      <c r="E12" s="3"/>
      <c r="F12" s="3"/>
      <c r="H12" s="101">
        <v>0.2</v>
      </c>
      <c r="I12" s="101"/>
      <c r="J12" s="3"/>
      <c r="K12" s="102"/>
      <c r="L12" s="102"/>
      <c r="M12" s="102"/>
      <c r="N12" s="102"/>
      <c r="O12" s="102"/>
      <c r="P12" s="95" t="s">
        <v>15</v>
      </c>
      <c r="Q12" s="95"/>
      <c r="R12" s="96"/>
      <c r="S12" s="96"/>
      <c r="T12" s="96"/>
      <c r="U12" s="96"/>
      <c r="V12" s="96"/>
      <c r="W12" s="96"/>
      <c r="X12" s="96"/>
    </row>
    <row r="13" spans="2:24" ht="24" customHeight="1" x14ac:dyDescent="0.25">
      <c r="B13" s="55" t="s">
        <v>1</v>
      </c>
      <c r="C13" s="55" t="s">
        <v>5</v>
      </c>
      <c r="D13" s="55" t="s">
        <v>6</v>
      </c>
      <c r="E13" s="103" t="s">
        <v>107</v>
      </c>
      <c r="F13" s="104" t="s">
        <v>157</v>
      </c>
      <c r="G13" s="103" t="s">
        <v>108</v>
      </c>
      <c r="H13" s="104" t="s">
        <v>158</v>
      </c>
      <c r="I13" s="104" t="s">
        <v>266</v>
      </c>
      <c r="J13" s="103" t="s">
        <v>109</v>
      </c>
      <c r="K13" s="103" t="s">
        <v>110</v>
      </c>
      <c r="L13" s="103" t="s">
        <v>185</v>
      </c>
      <c r="M13" s="105" t="s">
        <v>186</v>
      </c>
      <c r="N13" s="105"/>
      <c r="O13" s="105"/>
      <c r="P13" s="97" t="s">
        <v>11</v>
      </c>
      <c r="Q13" s="98" t="s">
        <v>30</v>
      </c>
      <c r="R13" s="97" t="s">
        <v>1</v>
      </c>
      <c r="S13" s="97" t="s">
        <v>2</v>
      </c>
      <c r="T13" s="97" t="s">
        <v>16</v>
      </c>
      <c r="U13" s="97" t="s">
        <v>17</v>
      </c>
      <c r="V13" s="97" t="s">
        <v>18</v>
      </c>
      <c r="W13" s="97" t="s">
        <v>19</v>
      </c>
      <c r="X13" s="97" t="s">
        <v>20</v>
      </c>
    </row>
    <row r="14" spans="2:24" ht="21.6" thickBot="1" x14ac:dyDescent="0.3">
      <c r="B14" s="106" t="s">
        <v>39</v>
      </c>
      <c r="C14" s="106" t="s">
        <v>32</v>
      </c>
      <c r="D14" s="106" t="s">
        <v>33</v>
      </c>
      <c r="E14" s="106" t="s">
        <v>111</v>
      </c>
      <c r="F14" s="106" t="s">
        <v>159</v>
      </c>
      <c r="G14" s="106" t="s">
        <v>112</v>
      </c>
      <c r="H14" s="106" t="s">
        <v>159</v>
      </c>
      <c r="I14" s="106" t="s">
        <v>159</v>
      </c>
      <c r="J14" s="107" t="s">
        <v>113</v>
      </c>
      <c r="K14" s="106" t="s">
        <v>121</v>
      </c>
      <c r="L14" s="106" t="s">
        <v>187</v>
      </c>
      <c r="M14" s="107" t="s">
        <v>188</v>
      </c>
      <c r="N14" s="108"/>
      <c r="O14" s="108"/>
      <c r="P14" s="99" t="s">
        <v>38</v>
      </c>
      <c r="Q14" s="99" t="s">
        <v>31</v>
      </c>
      <c r="R14" s="99" t="s">
        <v>21</v>
      </c>
      <c r="S14" s="99" t="s">
        <v>22</v>
      </c>
      <c r="T14" s="99" t="s">
        <v>23</v>
      </c>
      <c r="U14" s="99" t="s">
        <v>24</v>
      </c>
      <c r="V14" s="99" t="s">
        <v>43</v>
      </c>
      <c r="W14" s="99" t="s">
        <v>42</v>
      </c>
      <c r="X14" s="99" t="s">
        <v>25</v>
      </c>
    </row>
    <row r="15" spans="2:24" ht="13.8" thickBot="1" x14ac:dyDescent="0.3">
      <c r="B15" s="109" t="s">
        <v>87</v>
      </c>
      <c r="C15" s="109"/>
      <c r="D15" s="109"/>
      <c r="E15" s="110" t="s">
        <v>264</v>
      </c>
      <c r="F15" s="110"/>
      <c r="G15" s="110"/>
      <c r="H15" s="110"/>
      <c r="I15" s="110"/>
      <c r="J15" s="111"/>
      <c r="K15" s="110" t="s">
        <v>114</v>
      </c>
      <c r="L15" s="110"/>
      <c r="M15" s="111"/>
      <c r="N15" s="112"/>
      <c r="O15" s="112"/>
      <c r="P15" s="99" t="s">
        <v>81</v>
      </c>
      <c r="Q15" s="99"/>
      <c r="R15" s="99"/>
      <c r="S15" s="99"/>
      <c r="T15" s="99"/>
      <c r="U15" s="99"/>
      <c r="V15" s="99"/>
      <c r="W15" s="99"/>
      <c r="X15" s="99"/>
    </row>
    <row r="16" spans="2:24" x14ac:dyDescent="0.25">
      <c r="B16" s="94" t="str">
        <f>R$16</f>
        <v>Kiln</v>
      </c>
      <c r="C16" s="94" t="str">
        <f>Sector_Fuels!N5</f>
        <v>MANCOALMIN</v>
      </c>
      <c r="D16" s="96" t="str">
        <f>R5</f>
        <v>MANHEAT</v>
      </c>
      <c r="E16" s="117">
        <f>EBF!D5/(DemTechs_INDF!G16*DemTechs_INDF!F29)*1000</f>
        <v>937.89154669987556</v>
      </c>
      <c r="F16" s="113">
        <v>0.44</v>
      </c>
      <c r="G16" s="114">
        <v>0.55000000000000004</v>
      </c>
      <c r="H16" s="115">
        <f>1-H17-H18</f>
        <v>0.55159999999999998</v>
      </c>
      <c r="I16" s="115">
        <f>1-I17-I18</f>
        <v>0.59128000000000003</v>
      </c>
      <c r="J16" s="114">
        <v>0.9</v>
      </c>
      <c r="K16" s="144">
        <v>30</v>
      </c>
      <c r="L16" s="116">
        <v>144094</v>
      </c>
      <c r="M16" s="116"/>
      <c r="N16" s="116"/>
      <c r="O16" s="116"/>
      <c r="P16" s="94" t="s">
        <v>115</v>
      </c>
      <c r="R16" s="94" t="s">
        <v>160</v>
      </c>
      <c r="S16" s="94" t="s">
        <v>265</v>
      </c>
      <c r="T16" s="96" t="str">
        <f>$E$2</f>
        <v>GWh</v>
      </c>
      <c r="U16" s="96" t="s">
        <v>161</v>
      </c>
      <c r="V16" s="96"/>
      <c r="W16" s="96"/>
      <c r="X16" s="96"/>
    </row>
    <row r="17" spans="2:24" x14ac:dyDescent="0.25">
      <c r="B17" s="94" t="str">
        <f>R$16</f>
        <v>Kiln</v>
      </c>
      <c r="C17" s="94" t="str">
        <f>Sector_Fuels!N6</f>
        <v>MANCOALIMP</v>
      </c>
      <c r="D17" s="96" t="str">
        <f>R5</f>
        <v>MANHEAT</v>
      </c>
      <c r="E17" s="117">
        <f>EBF!D6/(DemTechs_INDF!G17*DemTechs_INDF!F29)*1000</f>
        <v>655.44084719800742</v>
      </c>
      <c r="F17" s="113">
        <v>0.31</v>
      </c>
      <c r="G17" s="114">
        <v>0.55000000000000004</v>
      </c>
      <c r="H17" s="115">
        <f>IF(F$17=0,20%,F$17*(1-H$12)^2)</f>
        <v>0.19840000000000005</v>
      </c>
      <c r="I17" s="115">
        <f>IF(F$17=0,20%,F$17*(1-H$12)^3)</f>
        <v>0.15872000000000003</v>
      </c>
      <c r="J17" s="114">
        <v>0.9</v>
      </c>
      <c r="K17" s="144">
        <v>30</v>
      </c>
      <c r="L17" s="116">
        <v>144094</v>
      </c>
      <c r="M17" s="116"/>
      <c r="N17" s="116"/>
      <c r="O17" s="116"/>
      <c r="P17" s="94" t="s">
        <v>115</v>
      </c>
      <c r="R17" s="94" t="s">
        <v>162</v>
      </c>
      <c r="S17" s="94" t="s">
        <v>163</v>
      </c>
      <c r="T17" s="96" t="str">
        <f>$E$2</f>
        <v>GWh</v>
      </c>
      <c r="U17" s="96" t="s">
        <v>161</v>
      </c>
      <c r="V17" s="96"/>
      <c r="W17" s="96"/>
      <c r="X17" s="96"/>
    </row>
    <row r="18" spans="2:24" x14ac:dyDescent="0.25">
      <c r="B18" s="94" t="str">
        <f>R$17</f>
        <v>Boiler</v>
      </c>
      <c r="C18" s="94" t="str">
        <f>Sector_Fuels!N7</f>
        <v>MANOILIMP</v>
      </c>
      <c r="D18" s="96" t="str">
        <f>R5</f>
        <v>MANHEAT</v>
      </c>
      <c r="E18" s="117">
        <f>EBF!E18/(DemTechs_INDF!G18*DemTechs_INDF!F29)*1000</f>
        <v>396.54922520547944</v>
      </c>
      <c r="F18" s="113">
        <v>0.25</v>
      </c>
      <c r="G18" s="114">
        <v>0.75</v>
      </c>
      <c r="H18" s="115">
        <f>IF(F$18=0,20%,F$18*(1))</f>
        <v>0.25</v>
      </c>
      <c r="I18" s="115">
        <f>IF(F$18=0,20%,F$18*(1))</f>
        <v>0.25</v>
      </c>
      <c r="J18" s="117">
        <v>0.9</v>
      </c>
      <c r="K18" s="116">
        <v>30</v>
      </c>
      <c r="L18" s="116">
        <v>60000</v>
      </c>
      <c r="M18" s="116"/>
      <c r="N18" s="116"/>
    </row>
    <row r="19" spans="2:24" s="123" customFormat="1" x14ac:dyDescent="0.25">
      <c r="B19" s="94" t="str">
        <f>R$21</f>
        <v>ELC</v>
      </c>
      <c r="C19" s="94" t="str">
        <f>Sector_Fuels!N8</f>
        <v>GRIDELC</v>
      </c>
      <c r="D19" s="96" t="str">
        <f>R6</f>
        <v>MANELC</v>
      </c>
      <c r="E19" s="117">
        <f>EBF!K18/(DemTechs_INDF!G19*DemTechs_INDF!F29)*1000</f>
        <v>1500.4519805136986</v>
      </c>
      <c r="F19" s="124">
        <v>1</v>
      </c>
      <c r="G19" s="123">
        <v>1</v>
      </c>
      <c r="H19" s="125">
        <v>1</v>
      </c>
      <c r="I19" s="126">
        <v>1</v>
      </c>
      <c r="J19" s="123">
        <v>1</v>
      </c>
      <c r="K19" s="123">
        <v>50</v>
      </c>
    </row>
    <row r="20" spans="2:24" x14ac:dyDescent="0.25">
      <c r="F20" s="118"/>
      <c r="H20" s="118"/>
      <c r="I20" s="118"/>
    </row>
    <row r="21" spans="2:24" x14ac:dyDescent="0.25">
      <c r="F21" s="119"/>
      <c r="H21" s="119"/>
      <c r="I21" s="119"/>
      <c r="P21" s="94" t="s">
        <v>115</v>
      </c>
      <c r="R21" s="94" t="s">
        <v>46</v>
      </c>
      <c r="S21" s="94" t="s">
        <v>273</v>
      </c>
      <c r="T21" s="96" t="str">
        <f t="shared" ref="T21" si="0">$E$2</f>
        <v>GWh</v>
      </c>
      <c r="U21" s="96" t="s">
        <v>161</v>
      </c>
    </row>
    <row r="22" spans="2:24" x14ac:dyDescent="0.25">
      <c r="B22" s="94" t="s">
        <v>255</v>
      </c>
      <c r="C22" s="94" t="str">
        <f>Sector_Fuels!N13</f>
        <v>CONMDRIVE</v>
      </c>
      <c r="D22" s="94" t="str">
        <f>Sector_Fuels!N13</f>
        <v>CONMDRIVE</v>
      </c>
      <c r="F22" s="119">
        <v>1</v>
      </c>
      <c r="G22" s="94">
        <v>1</v>
      </c>
      <c r="H22" s="119"/>
      <c r="I22" s="119"/>
      <c r="P22" s="94" t="s">
        <v>115</v>
      </c>
      <c r="Q22" s="123"/>
      <c r="R22" s="94" t="s">
        <v>255</v>
      </c>
      <c r="S22" s="123" t="s">
        <v>256</v>
      </c>
      <c r="T22" s="127" t="s">
        <v>169</v>
      </c>
      <c r="U22" s="127" t="s">
        <v>161</v>
      </c>
    </row>
    <row r="23" spans="2:24" x14ac:dyDescent="0.25">
      <c r="B23" s="94" t="s">
        <v>85</v>
      </c>
      <c r="C23" s="94" t="str">
        <f>Sector_Fuels!N14</f>
        <v>CONELC</v>
      </c>
      <c r="D23" s="94" t="str">
        <f>Sector_Fuels!N14</f>
        <v>CONELC</v>
      </c>
      <c r="F23" s="119">
        <v>1</v>
      </c>
      <c r="G23" s="21">
        <v>1</v>
      </c>
      <c r="J23" s="120"/>
      <c r="P23" s="94" t="s">
        <v>115</v>
      </c>
      <c r="R23" s="94" t="s">
        <v>85</v>
      </c>
      <c r="S23" s="94" t="s">
        <v>257</v>
      </c>
    </row>
    <row r="24" spans="2:24" x14ac:dyDescent="0.25">
      <c r="J24" s="120"/>
    </row>
    <row r="25" spans="2:24" x14ac:dyDescent="0.25">
      <c r="B25" s="116"/>
      <c r="C25" s="94" t="s">
        <v>99</v>
      </c>
      <c r="J25" s="120"/>
    </row>
    <row r="26" spans="2:24" x14ac:dyDescent="0.25">
      <c r="B26" s="121"/>
      <c r="C26" s="94" t="s">
        <v>100</v>
      </c>
      <c r="J26" s="120"/>
    </row>
    <row r="27" spans="2:24" x14ac:dyDescent="0.25">
      <c r="E27" s="94" t="s">
        <v>248</v>
      </c>
      <c r="F27" s="94" t="s">
        <v>250</v>
      </c>
      <c r="J27" s="120"/>
    </row>
    <row r="29" spans="2:24" x14ac:dyDescent="0.25">
      <c r="E29" s="94" t="s">
        <v>249</v>
      </c>
      <c r="F29" s="94">
        <f>24*365</f>
        <v>8760</v>
      </c>
    </row>
    <row r="30" spans="2:24" x14ac:dyDescent="0.25">
      <c r="E30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1942-68EF-4347-B180-1E2F29F43F6F}">
  <dimension ref="B1:K59"/>
  <sheetViews>
    <sheetView topLeftCell="A8" zoomScale="226" zoomScaleNormal="226" workbookViewId="0">
      <selection activeCell="C10" sqref="C10"/>
    </sheetView>
  </sheetViews>
  <sheetFormatPr defaultRowHeight="13.2" x14ac:dyDescent="0.25"/>
  <cols>
    <col min="1" max="1" width="3.6640625" customWidth="1"/>
    <col min="2" max="2" width="11.88671875" bestFit="1" customWidth="1"/>
    <col min="3" max="3" width="25.21875" bestFit="1" customWidth="1"/>
    <col min="9" max="9" width="12.44140625" bestFit="1" customWidth="1"/>
    <col min="10" max="10" width="10.21875" bestFit="1" customWidth="1"/>
  </cols>
  <sheetData>
    <row r="1" spans="2:11" ht="14.4" x14ac:dyDescent="0.3">
      <c r="B1" s="6" t="s">
        <v>75</v>
      </c>
      <c r="C1" s="6" t="s">
        <v>76</v>
      </c>
      <c r="D1" s="6" t="s">
        <v>77</v>
      </c>
      <c r="E1" s="6" t="s">
        <v>78</v>
      </c>
      <c r="G1" s="6" t="s">
        <v>79</v>
      </c>
    </row>
    <row r="2" spans="2:11" ht="15.6" x14ac:dyDescent="0.3">
      <c r="B2" s="7" t="s">
        <v>82</v>
      </c>
      <c r="C2" s="7"/>
      <c r="D2" s="7"/>
      <c r="E2" s="7" t="str">
        <f>EBF!Q2</f>
        <v>GWh</v>
      </c>
      <c r="G2" s="7" t="str">
        <f>EBF!P2</f>
        <v>TH$2022</v>
      </c>
    </row>
    <row r="5" spans="2:11" x14ac:dyDescent="0.25">
      <c r="C5" s="131" t="s">
        <v>13</v>
      </c>
      <c r="D5" s="131"/>
      <c r="E5" s="1"/>
    </row>
    <row r="6" spans="2:11" x14ac:dyDescent="0.25">
      <c r="B6" s="130" t="s">
        <v>189</v>
      </c>
      <c r="C6" s="130" t="s">
        <v>0</v>
      </c>
      <c r="D6" s="130" t="s">
        <v>190</v>
      </c>
      <c r="E6" s="130">
        <v>2022</v>
      </c>
      <c r="F6" s="137"/>
      <c r="G6" s="137"/>
      <c r="J6" s="131" t="s">
        <v>13</v>
      </c>
      <c r="K6" s="1"/>
    </row>
    <row r="7" spans="2:11" ht="21" x14ac:dyDescent="0.25">
      <c r="B7" s="133" t="s">
        <v>81</v>
      </c>
      <c r="C7" s="133" t="s">
        <v>191</v>
      </c>
      <c r="D7" s="133" t="s">
        <v>192</v>
      </c>
      <c r="E7" s="133" t="s">
        <v>193</v>
      </c>
      <c r="F7" s="138"/>
      <c r="G7" s="138"/>
      <c r="H7" s="130" t="s">
        <v>189</v>
      </c>
      <c r="I7" s="130" t="s">
        <v>0</v>
      </c>
      <c r="J7" s="130" t="s">
        <v>195</v>
      </c>
      <c r="K7" s="130">
        <v>2022</v>
      </c>
    </row>
    <row r="8" spans="2:11" ht="21.6" thickBot="1" x14ac:dyDescent="0.3">
      <c r="B8" s="132" t="s">
        <v>87</v>
      </c>
      <c r="C8" s="132"/>
      <c r="D8" s="132"/>
      <c r="E8" s="132" t="s">
        <v>169</v>
      </c>
      <c r="F8" s="138"/>
      <c r="G8" s="138"/>
      <c r="H8" s="140" t="s">
        <v>81</v>
      </c>
      <c r="I8" s="140" t="s">
        <v>191</v>
      </c>
      <c r="J8" s="140"/>
      <c r="K8" s="140"/>
    </row>
    <row r="9" spans="2:11" ht="13.8" thickBot="1" x14ac:dyDescent="0.3">
      <c r="B9" s="134" t="s">
        <v>194</v>
      </c>
      <c r="C9" s="134" t="str">
        <f>DemTechs_INDF!R5</f>
        <v>MANHEAT</v>
      </c>
      <c r="D9" s="134" t="str">
        <f>E$2</f>
        <v>GWh</v>
      </c>
      <c r="E9" s="136">
        <f>EBF!D18-EBF!D6+EBF!D5</f>
        <v>9037.6885127999994</v>
      </c>
      <c r="H9" s="9" t="s">
        <v>87</v>
      </c>
      <c r="I9" s="9"/>
      <c r="J9" s="9"/>
      <c r="K9" s="9"/>
    </row>
    <row r="10" spans="2:11" ht="13.8" thickBot="1" x14ac:dyDescent="0.3">
      <c r="B10" s="134" t="s">
        <v>194</v>
      </c>
      <c r="C10" s="134" t="str">
        <f>DemTechs_INDF!R6</f>
        <v>MANELC</v>
      </c>
      <c r="D10" s="134" t="str">
        <f>E$2</f>
        <v>GWh</v>
      </c>
      <c r="E10" s="47">
        <v>2605.3284096000002</v>
      </c>
      <c r="H10" s="1" t="s">
        <v>196</v>
      </c>
      <c r="I10" s="1" t="str">
        <f>DemTechs_INDF!R$6</f>
        <v>MANELC</v>
      </c>
      <c r="J10" s="94" t="s">
        <v>197</v>
      </c>
      <c r="K10" s="141">
        <v>0.75</v>
      </c>
    </row>
    <row r="11" spans="2:11" x14ac:dyDescent="0.25">
      <c r="B11" s="134"/>
      <c r="C11" s="134"/>
      <c r="D11" s="134"/>
      <c r="E11" s="47"/>
      <c r="G11" s="5"/>
      <c r="H11" s="1" t="s">
        <v>196</v>
      </c>
      <c r="I11" s="1" t="str">
        <f>DemTechs_INDF!R$6</f>
        <v>MANELC</v>
      </c>
      <c r="J11" s="94" t="s">
        <v>198</v>
      </c>
      <c r="K11" s="141">
        <v>0.25</v>
      </c>
    </row>
    <row r="12" spans="2:11" x14ac:dyDescent="0.25">
      <c r="B12" s="1"/>
      <c r="E12" s="21"/>
      <c r="H12" s="1" t="s">
        <v>196</v>
      </c>
      <c r="I12" s="1" t="str">
        <f>DemTechs_INDF!R$6</f>
        <v>MANELC</v>
      </c>
      <c r="J12" s="94" t="s">
        <v>199</v>
      </c>
      <c r="K12" s="141">
        <v>1.0416666666666666E-2</v>
      </c>
    </row>
    <row r="13" spans="2:11" x14ac:dyDescent="0.25">
      <c r="B13" s="1" t="s">
        <v>194</v>
      </c>
      <c r="C13" t="str">
        <f>DemTechs_INDF!R9</f>
        <v>CONELC</v>
      </c>
      <c r="D13" t="s">
        <v>169</v>
      </c>
      <c r="E13" s="5">
        <f>EBF!J19</f>
        <v>150.62052090000017</v>
      </c>
      <c r="H13" s="1" t="s">
        <v>196</v>
      </c>
      <c r="I13" s="1" t="str">
        <f>DemTechs_INDF!R$6</f>
        <v>MANELC</v>
      </c>
      <c r="J13" s="142" t="s">
        <v>200</v>
      </c>
      <c r="K13" s="143">
        <v>1.0416666666666666E-2</v>
      </c>
    </row>
    <row r="14" spans="2:11" x14ac:dyDescent="0.25">
      <c r="B14" s="1" t="s">
        <v>194</v>
      </c>
      <c r="C14" t="str">
        <f>DemTechs_INDF!R10</f>
        <v>CONOILIMP</v>
      </c>
      <c r="D14" t="s">
        <v>169</v>
      </c>
      <c r="E14" s="5">
        <f>EBF!E19</f>
        <v>8782.1658503999988</v>
      </c>
      <c r="H14" s="1" t="s">
        <v>196</v>
      </c>
      <c r="I14" s="1" t="str">
        <f>DemTechs_INDF!R$6</f>
        <v>MANELC</v>
      </c>
      <c r="J14" t="s">
        <v>201</v>
      </c>
      <c r="K14" s="141">
        <v>1.0416666666666666E-2</v>
      </c>
    </row>
    <row r="15" spans="2:11" x14ac:dyDescent="0.25">
      <c r="E15" s="5"/>
      <c r="H15" s="1" t="s">
        <v>196</v>
      </c>
      <c r="I15" s="1" t="str">
        <f>DemTechs_INDF!R$6</f>
        <v>MANELC</v>
      </c>
      <c r="J15" t="s">
        <v>202</v>
      </c>
      <c r="K15" s="141">
        <v>1.0416666666666666E-2</v>
      </c>
    </row>
    <row r="16" spans="2:11" x14ac:dyDescent="0.25">
      <c r="H16" s="1" t="s">
        <v>196</v>
      </c>
      <c r="I16" s="1" t="str">
        <f>DemTechs_INDF!R$6</f>
        <v>MANELC</v>
      </c>
      <c r="J16" t="s">
        <v>203</v>
      </c>
      <c r="K16" s="141">
        <v>1.0416666666666666E-2</v>
      </c>
    </row>
    <row r="17" spans="2:11" x14ac:dyDescent="0.25">
      <c r="H17" s="1" t="s">
        <v>196</v>
      </c>
      <c r="I17" s="1" t="str">
        <f>DemTechs_INDF!R$6</f>
        <v>MANELC</v>
      </c>
      <c r="J17" t="s">
        <v>204</v>
      </c>
      <c r="K17" s="143">
        <v>1.0416666666666666E-2</v>
      </c>
    </row>
    <row r="18" spans="2:11" x14ac:dyDescent="0.25">
      <c r="H18" s="1" t="s">
        <v>196</v>
      </c>
      <c r="I18" s="1" t="str">
        <f>DemTechs_INDF!R$6</f>
        <v>MANELC</v>
      </c>
      <c r="J18" t="s">
        <v>205</v>
      </c>
      <c r="K18" s="141">
        <v>1.0416666666666666E-2</v>
      </c>
    </row>
    <row r="19" spans="2:11" x14ac:dyDescent="0.25">
      <c r="H19" s="1" t="s">
        <v>196</v>
      </c>
      <c r="I19" s="1" t="str">
        <f>DemTechs_INDF!R$6</f>
        <v>MANELC</v>
      </c>
      <c r="J19" t="s">
        <v>206</v>
      </c>
      <c r="K19" s="141">
        <v>1.0416666666666666E-2</v>
      </c>
    </row>
    <row r="20" spans="2:11" x14ac:dyDescent="0.25">
      <c r="H20" s="1" t="s">
        <v>196</v>
      </c>
      <c r="I20" s="1" t="str">
        <f>DemTechs_INDF!R$6</f>
        <v>MANELC</v>
      </c>
      <c r="J20" t="s">
        <v>207</v>
      </c>
      <c r="K20" s="141">
        <v>1.0416666666666666E-2</v>
      </c>
    </row>
    <row r="21" spans="2:11" x14ac:dyDescent="0.25">
      <c r="B21" s="135"/>
      <c r="C21" s="1" t="s">
        <v>99</v>
      </c>
      <c r="H21" s="1" t="s">
        <v>196</v>
      </c>
      <c r="I21" s="1" t="str">
        <f>DemTechs_INDF!R$6</f>
        <v>MANELC</v>
      </c>
      <c r="J21" t="s">
        <v>208</v>
      </c>
      <c r="K21" s="143">
        <v>1.0416666666666666E-2</v>
      </c>
    </row>
    <row r="22" spans="2:11" x14ac:dyDescent="0.25">
      <c r="B22" s="48"/>
      <c r="C22" s="1" t="s">
        <v>100</v>
      </c>
      <c r="H22" s="1" t="s">
        <v>196</v>
      </c>
      <c r="I22" s="1" t="str">
        <f>DemTechs_INDF!R$6</f>
        <v>MANELC</v>
      </c>
      <c r="J22" t="s">
        <v>209</v>
      </c>
      <c r="K22" s="141">
        <v>1.0416666666666666E-2</v>
      </c>
    </row>
    <row r="23" spans="2:11" x14ac:dyDescent="0.25">
      <c r="H23" s="1" t="s">
        <v>196</v>
      </c>
      <c r="I23" s="1" t="str">
        <f>DemTechs_INDF!R$6</f>
        <v>MANELC</v>
      </c>
      <c r="J23" t="s">
        <v>210</v>
      </c>
      <c r="K23" s="141">
        <v>1.0416666666666666E-2</v>
      </c>
    </row>
    <row r="24" spans="2:11" x14ac:dyDescent="0.25">
      <c r="H24" s="1" t="s">
        <v>196</v>
      </c>
      <c r="I24" s="1" t="str">
        <f>DemTechs_INDF!R$6</f>
        <v>MANELC</v>
      </c>
      <c r="J24" t="s">
        <v>211</v>
      </c>
      <c r="K24" s="141">
        <v>1.0416666666666666E-2</v>
      </c>
    </row>
    <row r="25" spans="2:11" x14ac:dyDescent="0.25">
      <c r="H25" s="1" t="s">
        <v>196</v>
      </c>
      <c r="I25" s="1" t="str">
        <f>DemTechs_INDF!R$6</f>
        <v>MANELC</v>
      </c>
      <c r="J25" t="s">
        <v>212</v>
      </c>
      <c r="K25" s="143">
        <v>1.0416666666666666E-2</v>
      </c>
    </row>
    <row r="26" spans="2:11" x14ac:dyDescent="0.25">
      <c r="H26" s="1" t="s">
        <v>196</v>
      </c>
      <c r="I26" s="1" t="str">
        <f>DemTechs_INDF!R$6</f>
        <v>MANELC</v>
      </c>
      <c r="J26" t="s">
        <v>213</v>
      </c>
      <c r="K26" s="141">
        <v>1.0416666666666666E-2</v>
      </c>
    </row>
    <row r="27" spans="2:11" x14ac:dyDescent="0.25">
      <c r="H27" s="1" t="s">
        <v>196</v>
      </c>
      <c r="I27" s="1" t="str">
        <f>DemTechs_INDF!R$6</f>
        <v>MANELC</v>
      </c>
      <c r="J27" t="s">
        <v>214</v>
      </c>
      <c r="K27" s="141">
        <v>1.0416666666666666E-2</v>
      </c>
    </row>
    <row r="28" spans="2:11" x14ac:dyDescent="0.25">
      <c r="H28" s="1" t="s">
        <v>196</v>
      </c>
      <c r="I28" s="1" t="str">
        <f>DemTechs_INDF!R$6</f>
        <v>MANELC</v>
      </c>
      <c r="J28" t="s">
        <v>215</v>
      </c>
      <c r="K28" s="141">
        <v>1.0416666666666666E-2</v>
      </c>
    </row>
    <row r="29" spans="2:11" x14ac:dyDescent="0.25">
      <c r="H29" s="1" t="s">
        <v>196</v>
      </c>
      <c r="I29" s="1" t="str">
        <f>DemTechs_INDF!R$6</f>
        <v>MANELC</v>
      </c>
      <c r="J29" t="s">
        <v>216</v>
      </c>
      <c r="K29" s="143">
        <v>1.0416666666666666E-2</v>
      </c>
    </row>
    <row r="30" spans="2:11" x14ac:dyDescent="0.25">
      <c r="H30" s="1" t="s">
        <v>196</v>
      </c>
      <c r="I30" s="1" t="str">
        <f>DemTechs_INDF!R$6</f>
        <v>MANELC</v>
      </c>
      <c r="J30" t="s">
        <v>217</v>
      </c>
      <c r="K30" s="141">
        <v>1.0416666666666666E-2</v>
      </c>
    </row>
    <row r="31" spans="2:11" x14ac:dyDescent="0.25">
      <c r="H31" s="1" t="s">
        <v>196</v>
      </c>
      <c r="I31" s="1" t="str">
        <f>DemTechs_INDF!R$6</f>
        <v>MANELC</v>
      </c>
      <c r="J31" t="s">
        <v>218</v>
      </c>
      <c r="K31" s="141">
        <v>1.0416666666666666E-2</v>
      </c>
    </row>
    <row r="32" spans="2:11" x14ac:dyDescent="0.25">
      <c r="H32" s="1" t="s">
        <v>196</v>
      </c>
      <c r="I32" s="1" t="str">
        <f>DemTechs_INDF!R$6</f>
        <v>MANELC</v>
      </c>
      <c r="J32" t="s">
        <v>219</v>
      </c>
      <c r="K32" s="141">
        <v>1.0416666666666666E-2</v>
      </c>
    </row>
    <row r="33" spans="8:11" x14ac:dyDescent="0.25">
      <c r="H33" s="1" t="s">
        <v>196</v>
      </c>
      <c r="I33" s="1" t="str">
        <f>DemTechs_INDF!R$6</f>
        <v>MANELC</v>
      </c>
      <c r="J33" t="s">
        <v>220</v>
      </c>
      <c r="K33" s="143">
        <v>1.0416666666666666E-2</v>
      </c>
    </row>
    <row r="34" spans="8:11" x14ac:dyDescent="0.25">
      <c r="H34" s="1" t="s">
        <v>196</v>
      </c>
      <c r="I34" s="1" t="str">
        <f>DemTechs_INDF!R$6</f>
        <v>MANELC</v>
      </c>
      <c r="J34" t="s">
        <v>221</v>
      </c>
      <c r="K34" s="141">
        <v>1.0416666666666666E-2</v>
      </c>
    </row>
    <row r="35" spans="8:11" x14ac:dyDescent="0.25">
      <c r="H35" s="1" t="s">
        <v>196</v>
      </c>
      <c r="I35" s="1" t="str">
        <f>DemTechs_INDF!R$6</f>
        <v>MANELC</v>
      </c>
      <c r="J35" t="s">
        <v>222</v>
      </c>
      <c r="K35" s="141">
        <v>1.0416666666666666E-2</v>
      </c>
    </row>
    <row r="36" spans="8:11" x14ac:dyDescent="0.25">
      <c r="H36" s="1" t="s">
        <v>196</v>
      </c>
      <c r="I36" s="1" t="str">
        <f>DemTechs_INDF!R$6</f>
        <v>MANELC</v>
      </c>
      <c r="J36" t="s">
        <v>223</v>
      </c>
      <c r="K36" s="141">
        <v>3.125E-2</v>
      </c>
    </row>
    <row r="37" spans="8:11" x14ac:dyDescent="0.25">
      <c r="H37" s="1" t="s">
        <v>196</v>
      </c>
      <c r="I37" s="1" t="str">
        <f>DemTechs_INDF!R$6</f>
        <v>MANELC</v>
      </c>
      <c r="J37" t="s">
        <v>224</v>
      </c>
      <c r="K37" s="143">
        <v>3.125E-2</v>
      </c>
    </row>
    <row r="38" spans="8:11" x14ac:dyDescent="0.25">
      <c r="H38" s="1" t="s">
        <v>196</v>
      </c>
      <c r="I38" s="1" t="str">
        <f>DemTechs_INDF!R$6</f>
        <v>MANELC</v>
      </c>
      <c r="J38" t="s">
        <v>225</v>
      </c>
      <c r="K38" s="141">
        <v>3.125E-2</v>
      </c>
    </row>
    <row r="39" spans="8:11" x14ac:dyDescent="0.25">
      <c r="H39" s="1" t="s">
        <v>196</v>
      </c>
      <c r="I39" s="1" t="str">
        <f>DemTechs_INDF!R$6</f>
        <v>MANELC</v>
      </c>
      <c r="J39" t="s">
        <v>226</v>
      </c>
      <c r="K39" s="141">
        <v>3.125E-2</v>
      </c>
    </row>
    <row r="40" spans="8:11" x14ac:dyDescent="0.25">
      <c r="H40" s="1" t="s">
        <v>196</v>
      </c>
      <c r="I40" s="1" t="str">
        <f>DemTechs_INDF!R$6</f>
        <v>MANELC</v>
      </c>
      <c r="J40" t="s">
        <v>227</v>
      </c>
      <c r="K40" s="141">
        <v>3.125E-2</v>
      </c>
    </row>
    <row r="41" spans="8:11" x14ac:dyDescent="0.25">
      <c r="H41" s="1" t="s">
        <v>196</v>
      </c>
      <c r="I41" s="1" t="str">
        <f>DemTechs_INDF!R$6</f>
        <v>MANELC</v>
      </c>
      <c r="J41" t="s">
        <v>228</v>
      </c>
      <c r="K41" s="143">
        <v>3.125E-2</v>
      </c>
    </row>
    <row r="42" spans="8:11" x14ac:dyDescent="0.25">
      <c r="H42" s="1" t="s">
        <v>196</v>
      </c>
      <c r="I42" s="1" t="str">
        <f>DemTechs_INDF!R$6</f>
        <v>MANELC</v>
      </c>
      <c r="J42" t="s">
        <v>229</v>
      </c>
      <c r="K42" s="141">
        <v>3.125E-2</v>
      </c>
    </row>
    <row r="43" spans="8:11" x14ac:dyDescent="0.25">
      <c r="H43" s="1" t="s">
        <v>196</v>
      </c>
      <c r="I43" s="1" t="str">
        <f>DemTechs_INDF!R$6</f>
        <v>MANELC</v>
      </c>
      <c r="J43" t="s">
        <v>230</v>
      </c>
      <c r="K43" s="141">
        <v>3.125E-2</v>
      </c>
    </row>
    <row r="44" spans="8:11" x14ac:dyDescent="0.25">
      <c r="H44" s="1" t="s">
        <v>196</v>
      </c>
      <c r="I44" s="1" t="str">
        <f>DemTechs_INDF!R$6</f>
        <v>MANELC</v>
      </c>
      <c r="J44" t="s">
        <v>231</v>
      </c>
      <c r="K44" s="141">
        <v>3.125E-2</v>
      </c>
    </row>
    <row r="45" spans="8:11" x14ac:dyDescent="0.25">
      <c r="H45" s="1" t="s">
        <v>196</v>
      </c>
      <c r="I45" s="1" t="str">
        <f>DemTechs_INDF!R$6</f>
        <v>MANELC</v>
      </c>
      <c r="J45" t="s">
        <v>232</v>
      </c>
      <c r="K45" s="143">
        <v>3.125E-2</v>
      </c>
    </row>
    <row r="46" spans="8:11" x14ac:dyDescent="0.25">
      <c r="H46" s="1" t="s">
        <v>196</v>
      </c>
      <c r="I46" s="1" t="str">
        <f>DemTechs_INDF!R$6</f>
        <v>MANELC</v>
      </c>
      <c r="J46" t="s">
        <v>233</v>
      </c>
      <c r="K46" s="141">
        <v>3.125E-2</v>
      </c>
    </row>
    <row r="47" spans="8:11" x14ac:dyDescent="0.25">
      <c r="H47" s="1" t="s">
        <v>196</v>
      </c>
      <c r="I47" s="1" t="str">
        <f>DemTechs_INDF!R$6</f>
        <v>MANELC</v>
      </c>
      <c r="J47" t="s">
        <v>234</v>
      </c>
      <c r="K47" s="141">
        <v>3.125E-2</v>
      </c>
    </row>
    <row r="48" spans="8:11" x14ac:dyDescent="0.25">
      <c r="H48" s="1" t="s">
        <v>196</v>
      </c>
      <c r="I48" s="1" t="str">
        <f>DemTechs_INDF!R$6</f>
        <v>MANELC</v>
      </c>
      <c r="J48" t="s">
        <v>235</v>
      </c>
      <c r="K48" s="141">
        <v>3.125E-2</v>
      </c>
    </row>
    <row r="49" spans="8:11" x14ac:dyDescent="0.25">
      <c r="H49" s="1" t="s">
        <v>196</v>
      </c>
      <c r="I49" s="1" t="str">
        <f>DemTechs_INDF!R$6</f>
        <v>MANELC</v>
      </c>
      <c r="J49" t="s">
        <v>236</v>
      </c>
      <c r="K49" s="143">
        <v>3.125E-2</v>
      </c>
    </row>
    <row r="50" spans="8:11" x14ac:dyDescent="0.25">
      <c r="H50" s="1" t="s">
        <v>196</v>
      </c>
      <c r="I50" s="1" t="str">
        <f>DemTechs_INDF!R$6</f>
        <v>MANELC</v>
      </c>
      <c r="J50" t="s">
        <v>237</v>
      </c>
      <c r="K50" s="141">
        <v>3.125E-2</v>
      </c>
    </row>
    <row r="51" spans="8:11" x14ac:dyDescent="0.25">
      <c r="H51" s="1" t="s">
        <v>196</v>
      </c>
      <c r="I51" s="1" t="str">
        <f>DemTechs_INDF!R$6</f>
        <v>MANELC</v>
      </c>
      <c r="J51" t="s">
        <v>238</v>
      </c>
      <c r="K51" s="141">
        <v>3.125E-2</v>
      </c>
    </row>
    <row r="52" spans="8:11" x14ac:dyDescent="0.25">
      <c r="H52" s="1" t="s">
        <v>196</v>
      </c>
      <c r="I52" s="1" t="str">
        <f>DemTechs_INDF!R$6</f>
        <v>MANELC</v>
      </c>
      <c r="J52" t="s">
        <v>239</v>
      </c>
      <c r="K52" s="141">
        <v>3.125E-2</v>
      </c>
    </row>
    <row r="53" spans="8:11" x14ac:dyDescent="0.25">
      <c r="H53" s="1" t="s">
        <v>196</v>
      </c>
      <c r="I53" s="1" t="str">
        <f>DemTechs_INDF!R$6</f>
        <v>MANELC</v>
      </c>
      <c r="J53" t="s">
        <v>240</v>
      </c>
      <c r="K53" s="143">
        <v>3.125E-2</v>
      </c>
    </row>
    <row r="54" spans="8:11" x14ac:dyDescent="0.25">
      <c r="H54" s="1" t="s">
        <v>196</v>
      </c>
      <c r="I54" s="1" t="str">
        <f>DemTechs_INDF!R$6</f>
        <v>MANELC</v>
      </c>
      <c r="J54" t="s">
        <v>241</v>
      </c>
      <c r="K54" s="141">
        <v>3.125E-2</v>
      </c>
    </row>
    <row r="55" spans="8:11" x14ac:dyDescent="0.25">
      <c r="H55" s="1" t="s">
        <v>196</v>
      </c>
      <c r="I55" s="1" t="str">
        <f>DemTechs_INDF!R$6</f>
        <v>MANELC</v>
      </c>
      <c r="J55" t="s">
        <v>242</v>
      </c>
      <c r="K55" s="141">
        <v>3.125E-2</v>
      </c>
    </row>
    <row r="56" spans="8:11" x14ac:dyDescent="0.25">
      <c r="H56" s="1" t="s">
        <v>196</v>
      </c>
      <c r="I56" s="1" t="str">
        <f>DemTechs_INDF!R$6</f>
        <v>MANELC</v>
      </c>
      <c r="J56" t="s">
        <v>243</v>
      </c>
      <c r="K56" s="141">
        <v>3.125E-2</v>
      </c>
    </row>
    <row r="57" spans="8:11" x14ac:dyDescent="0.25">
      <c r="H57" s="1" t="s">
        <v>196</v>
      </c>
      <c r="I57" s="1" t="str">
        <f>DemTechs_INDF!R$6</f>
        <v>MANELC</v>
      </c>
      <c r="J57" t="s">
        <v>244</v>
      </c>
      <c r="K57" s="143">
        <v>3.125E-2</v>
      </c>
    </row>
    <row r="58" spans="8:11" x14ac:dyDescent="0.25">
      <c r="H58" s="1" t="s">
        <v>196</v>
      </c>
      <c r="I58" s="1" t="str">
        <f>DemTechs_INDF!R$6</f>
        <v>MANELC</v>
      </c>
      <c r="J58" t="s">
        <v>245</v>
      </c>
      <c r="K58" s="141">
        <v>3.125E-2</v>
      </c>
    </row>
    <row r="59" spans="8:11" x14ac:dyDescent="0.25">
      <c r="H59" s="1" t="s">
        <v>196</v>
      </c>
      <c r="I59" s="1" t="str">
        <f>DemTechs_INDF!R$6</f>
        <v>MANELC</v>
      </c>
      <c r="J59" t="s">
        <v>246</v>
      </c>
      <c r="K59" s="141">
        <v>3.125E-2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59CB-7164-414F-B6F7-22B95D131062}">
  <dimension ref="B3:I24"/>
  <sheetViews>
    <sheetView topLeftCell="A3" workbookViewId="0">
      <selection activeCell="B6" sqref="B6"/>
    </sheetView>
  </sheetViews>
  <sheetFormatPr defaultRowHeight="13.2" x14ac:dyDescent="0.25"/>
  <cols>
    <col min="2" max="2" width="14.44140625" customWidth="1"/>
    <col min="3" max="3" width="9.5546875" bestFit="1" customWidth="1"/>
    <col min="4" max="4" width="13.33203125" bestFit="1" customWidth="1"/>
    <col min="5" max="5" width="9.5546875" bestFit="1" customWidth="1"/>
  </cols>
  <sheetData>
    <row r="3" spans="2:9" ht="17.399999999999999" customHeight="1" x14ac:dyDescent="0.3">
      <c r="B3" s="145" t="s">
        <v>268</v>
      </c>
      <c r="C3" s="145"/>
      <c r="D3" s="145"/>
      <c r="E3" s="145"/>
      <c r="F3" s="145"/>
      <c r="G3" s="145"/>
      <c r="H3" s="145"/>
    </row>
    <row r="4" spans="2:9" ht="17.399999999999999" customHeight="1" x14ac:dyDescent="0.3">
      <c r="B4" s="146"/>
      <c r="C4" s="146"/>
      <c r="D4" s="146"/>
      <c r="E4" s="146"/>
      <c r="F4" s="146"/>
      <c r="G4" s="146"/>
    </row>
    <row r="5" spans="2:9" ht="17.399999999999999" x14ac:dyDescent="0.3">
      <c r="B5" s="147" t="s">
        <v>269</v>
      </c>
      <c r="C5" s="148"/>
    </row>
    <row r="6" spans="2:9" ht="13.8" thickBot="1" x14ac:dyDescent="0.3">
      <c r="B6" s="149" t="s">
        <v>0</v>
      </c>
      <c r="C6" s="149" t="str">
        <f>Sector_Fuels!N5</f>
        <v>MANCOALMIN</v>
      </c>
      <c r="D6" s="149" t="str">
        <f>Sector_Fuels!N6</f>
        <v>MANCOALIMP</v>
      </c>
      <c r="E6" s="149" t="str">
        <f>Sector_Fuels!N7</f>
        <v>MANOILIMP</v>
      </c>
      <c r="F6" s="149" t="str">
        <f>Sector_Fuels!N8</f>
        <v>GRIDELC</v>
      </c>
      <c r="G6" s="149"/>
      <c r="H6" s="149"/>
      <c r="I6" s="1"/>
    </row>
    <row r="7" spans="2:9" ht="13.8" thickBot="1" x14ac:dyDescent="0.3">
      <c r="B7" s="150" t="s">
        <v>87</v>
      </c>
      <c r="C7" s="150" t="s">
        <v>270</v>
      </c>
      <c r="D7" s="150" t="s">
        <v>270</v>
      </c>
      <c r="E7" s="150" t="s">
        <v>270</v>
      </c>
      <c r="F7" s="150" t="s">
        <v>270</v>
      </c>
      <c r="G7" s="150"/>
      <c r="H7" s="150"/>
      <c r="I7" s="1"/>
    </row>
    <row r="8" spans="2:9" x14ac:dyDescent="0.25">
      <c r="B8" s="151" t="str">
        <f>DemTechs_INDF!R7</f>
        <v>MANCO2</v>
      </c>
      <c r="C8" s="152">
        <v>347494</v>
      </c>
      <c r="D8" s="152">
        <v>347494</v>
      </c>
      <c r="E8" s="152">
        <v>279515</v>
      </c>
      <c r="F8" s="152">
        <v>0</v>
      </c>
      <c r="G8" s="152"/>
      <c r="H8" s="152"/>
      <c r="I8" s="1"/>
    </row>
    <row r="23" spans="2:3" x14ac:dyDescent="0.25">
      <c r="B23" s="135"/>
      <c r="C23" s="1" t="s">
        <v>99</v>
      </c>
    </row>
    <row r="24" spans="2:3" x14ac:dyDescent="0.25">
      <c r="B24" s="48"/>
      <c r="C24" s="1" t="s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EBF TJ</vt:lpstr>
      <vt:lpstr>EBF</vt:lpstr>
      <vt:lpstr>RES&amp;OBJ</vt:lpstr>
      <vt:lpstr>Sector_Fuels</vt:lpstr>
      <vt:lpstr>DemTechs_INDF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cp:lastPrinted>2004-11-16T14:57:57Z</cp:lastPrinted>
  <dcterms:created xsi:type="dcterms:W3CDTF">2000-12-13T15:53:11Z</dcterms:created>
  <dcterms:modified xsi:type="dcterms:W3CDTF">2025-10-14T14:43:30Z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632569849491119</vt:lpwstr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2025-09-17T12:26:11Z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0da2c098-5e40-4ca4-98d0-94ecf3bb983a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