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huaxu/GitHub/premfin/data/"/>
    </mc:Choice>
  </mc:AlternateContent>
  <xr:revisionPtr revIDLastSave="0" documentId="13_ncr:1_{E48F6D17-4A89-EA43-86EA-7EB62B05A490}" xr6:coauthVersionLast="46" xr6:coauthVersionMax="46" xr10:uidLastSave="{00000000-0000-0000-0000-000000000000}"/>
  <bookViews>
    <workbookView xWindow="0" yWindow="0" windowWidth="28800" windowHeight="18000" activeTab="1" xr2:uid="{3FAC590B-FEAC-8942-82D5-6A3DA0DB063F}"/>
  </bookViews>
  <sheets>
    <sheet name="profile1" sheetId="2" r:id="rId1"/>
    <sheet name="profile2" sheetId="4" r:id="rId2"/>
    <sheet name="profile" sheetId="1" r:id="rId3"/>
    <sheet name="playground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4" i="4" l="1"/>
  <c r="AG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83" i="4"/>
  <c r="AJ197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83" i="4"/>
  <c r="X197" i="4"/>
  <c r="Z197" i="4" s="1"/>
  <c r="T197" i="4"/>
  <c r="O197" i="4"/>
  <c r="N197" i="4"/>
  <c r="L197" i="4"/>
  <c r="S197" i="4" s="1"/>
  <c r="F197" i="4"/>
  <c r="H197" i="4" s="1"/>
  <c r="X196" i="4"/>
  <c r="Z196" i="4" s="1"/>
  <c r="T196" i="4"/>
  <c r="O196" i="4"/>
  <c r="L196" i="4"/>
  <c r="F196" i="4"/>
  <c r="H196" i="4" s="1"/>
  <c r="N196" i="4" s="1"/>
  <c r="X195" i="4"/>
  <c r="Z195" i="4" s="1"/>
  <c r="T195" i="4"/>
  <c r="O195" i="4"/>
  <c r="L195" i="4"/>
  <c r="S195" i="4" s="1"/>
  <c r="U195" i="4" s="1"/>
  <c r="F195" i="4"/>
  <c r="H195" i="4" s="1"/>
  <c r="N195" i="4" s="1"/>
  <c r="X194" i="4"/>
  <c r="Z194" i="4" s="1"/>
  <c r="T194" i="4"/>
  <c r="O194" i="4"/>
  <c r="L194" i="4"/>
  <c r="F194" i="4"/>
  <c r="H194" i="4" s="1"/>
  <c r="N194" i="4" s="1"/>
  <c r="X193" i="4"/>
  <c r="Z193" i="4" s="1"/>
  <c r="T193" i="4"/>
  <c r="O193" i="4"/>
  <c r="L193" i="4"/>
  <c r="S193" i="4" s="1"/>
  <c r="H193" i="4"/>
  <c r="N193" i="4" s="1"/>
  <c r="F193" i="4"/>
  <c r="X192" i="4"/>
  <c r="Z192" i="4" s="1"/>
  <c r="T192" i="4"/>
  <c r="O192" i="4"/>
  <c r="L192" i="4"/>
  <c r="S192" i="4" s="1"/>
  <c r="F192" i="4"/>
  <c r="H192" i="4" s="1"/>
  <c r="N192" i="4" s="1"/>
  <c r="X191" i="4"/>
  <c r="Z191" i="4" s="1"/>
  <c r="T191" i="4"/>
  <c r="S191" i="4"/>
  <c r="O191" i="4"/>
  <c r="L191" i="4"/>
  <c r="F191" i="4"/>
  <c r="H191" i="4" s="1"/>
  <c r="N191" i="4" s="1"/>
  <c r="Z190" i="4"/>
  <c r="X190" i="4"/>
  <c r="T190" i="4"/>
  <c r="O190" i="4"/>
  <c r="L190" i="4"/>
  <c r="S190" i="4" s="1"/>
  <c r="F190" i="4"/>
  <c r="H190" i="4" s="1"/>
  <c r="N190" i="4" s="1"/>
  <c r="X189" i="4"/>
  <c r="Z189" i="4" s="1"/>
  <c r="T189" i="4"/>
  <c r="O189" i="4"/>
  <c r="L189" i="4"/>
  <c r="S189" i="4" s="1"/>
  <c r="F189" i="4"/>
  <c r="H189" i="4" s="1"/>
  <c r="N189" i="4" s="1"/>
  <c r="Z188" i="4"/>
  <c r="X188" i="4"/>
  <c r="T188" i="4"/>
  <c r="O188" i="4"/>
  <c r="L188" i="4"/>
  <c r="F188" i="4"/>
  <c r="H188" i="4" s="1"/>
  <c r="N188" i="4" s="1"/>
  <c r="X187" i="4"/>
  <c r="Z187" i="4" s="1"/>
  <c r="T187" i="4"/>
  <c r="O187" i="4"/>
  <c r="L187" i="4"/>
  <c r="S187" i="4" s="1"/>
  <c r="U187" i="4" s="1"/>
  <c r="F187" i="4"/>
  <c r="H187" i="4" s="1"/>
  <c r="N187" i="4" s="1"/>
  <c r="X186" i="4"/>
  <c r="Z186" i="4" s="1"/>
  <c r="T186" i="4"/>
  <c r="O186" i="4"/>
  <c r="L186" i="4"/>
  <c r="F186" i="4"/>
  <c r="H186" i="4" s="1"/>
  <c r="N186" i="4" s="1"/>
  <c r="Z185" i="4"/>
  <c r="X185" i="4"/>
  <c r="T185" i="4"/>
  <c r="O185" i="4"/>
  <c r="L185" i="4"/>
  <c r="S185" i="4" s="1"/>
  <c r="F185" i="4"/>
  <c r="H185" i="4" s="1"/>
  <c r="N185" i="4" s="1"/>
  <c r="X184" i="4"/>
  <c r="Z184" i="4" s="1"/>
  <c r="T184" i="4"/>
  <c r="O184" i="4"/>
  <c r="L184" i="4"/>
  <c r="S184" i="4" s="1"/>
  <c r="F184" i="4"/>
  <c r="H184" i="4" s="1"/>
  <c r="N184" i="4" s="1"/>
  <c r="X183" i="4"/>
  <c r="Z183" i="4" s="1"/>
  <c r="T183" i="4"/>
  <c r="O183" i="4"/>
  <c r="L183" i="4"/>
  <c r="S183" i="4" s="1"/>
  <c r="F183" i="4"/>
  <c r="H183" i="4" s="1"/>
  <c r="N183" i="4" s="1"/>
  <c r="X182" i="4"/>
  <c r="Z182" i="4" s="1"/>
  <c r="T182" i="4"/>
  <c r="O182" i="4"/>
  <c r="L182" i="4"/>
  <c r="S182" i="4" s="1"/>
  <c r="F182" i="4"/>
  <c r="H182" i="4" s="1"/>
  <c r="N182" i="4" s="1"/>
  <c r="X181" i="4"/>
  <c r="Z181" i="4" s="1"/>
  <c r="T181" i="4"/>
  <c r="O181" i="4"/>
  <c r="L181" i="4"/>
  <c r="S181" i="4" s="1"/>
  <c r="F181" i="4"/>
  <c r="H181" i="4" s="1"/>
  <c r="N181" i="4" s="1"/>
  <c r="X180" i="4"/>
  <c r="Z180" i="4" s="1"/>
  <c r="T180" i="4"/>
  <c r="O180" i="4"/>
  <c r="L180" i="4"/>
  <c r="F180" i="4"/>
  <c r="H180" i="4" s="1"/>
  <c r="N180" i="4" s="1"/>
  <c r="X179" i="4"/>
  <c r="Z179" i="4" s="1"/>
  <c r="T179" i="4"/>
  <c r="S179" i="4"/>
  <c r="O179" i="4"/>
  <c r="L179" i="4"/>
  <c r="F179" i="4"/>
  <c r="H179" i="4" s="1"/>
  <c r="N179" i="4" s="1"/>
  <c r="X178" i="4"/>
  <c r="Z178" i="4" s="1"/>
  <c r="T178" i="4"/>
  <c r="O178" i="4"/>
  <c r="L178" i="4"/>
  <c r="F178" i="4"/>
  <c r="H178" i="4" s="1"/>
  <c r="N178" i="4" s="1"/>
  <c r="X177" i="4"/>
  <c r="Z177" i="4" s="1"/>
  <c r="T177" i="4"/>
  <c r="O177" i="4"/>
  <c r="L177" i="4"/>
  <c r="S177" i="4" s="1"/>
  <c r="F177" i="4"/>
  <c r="H177" i="4" s="1"/>
  <c r="N177" i="4" s="1"/>
  <c r="X176" i="4"/>
  <c r="Z176" i="4" s="1"/>
  <c r="T176" i="4"/>
  <c r="O176" i="4"/>
  <c r="L176" i="4"/>
  <c r="S176" i="4" s="1"/>
  <c r="F176" i="4"/>
  <c r="H176" i="4" s="1"/>
  <c r="N176" i="4" s="1"/>
  <c r="X175" i="4"/>
  <c r="Z175" i="4" s="1"/>
  <c r="T175" i="4"/>
  <c r="O175" i="4"/>
  <c r="L175" i="4"/>
  <c r="S175" i="4" s="1"/>
  <c r="F175" i="4"/>
  <c r="H175" i="4" s="1"/>
  <c r="N175" i="4" s="1"/>
  <c r="X174" i="4"/>
  <c r="Z174" i="4" s="1"/>
  <c r="T174" i="4"/>
  <c r="O174" i="4"/>
  <c r="L174" i="4"/>
  <c r="S174" i="4" s="1"/>
  <c r="U174" i="4" s="1"/>
  <c r="F174" i="4"/>
  <c r="H174" i="4" s="1"/>
  <c r="N174" i="4" s="1"/>
  <c r="X173" i="4"/>
  <c r="Z173" i="4" s="1"/>
  <c r="T173" i="4"/>
  <c r="O173" i="4"/>
  <c r="L173" i="4"/>
  <c r="S173" i="4" s="1"/>
  <c r="F173" i="4"/>
  <c r="H173" i="4" s="1"/>
  <c r="N173" i="4" s="1"/>
  <c r="X172" i="4"/>
  <c r="Z172" i="4" s="1"/>
  <c r="T172" i="4"/>
  <c r="O172" i="4"/>
  <c r="L172" i="4"/>
  <c r="F172" i="4"/>
  <c r="H172" i="4" s="1"/>
  <c r="N172" i="4" s="1"/>
  <c r="X171" i="4"/>
  <c r="Z171" i="4" s="1"/>
  <c r="T171" i="4"/>
  <c r="O171" i="4"/>
  <c r="L171" i="4"/>
  <c r="F171" i="4"/>
  <c r="H171" i="4" s="1"/>
  <c r="N171" i="4" s="1"/>
  <c r="X170" i="4"/>
  <c r="Z170" i="4" s="1"/>
  <c r="T170" i="4"/>
  <c r="O170" i="4"/>
  <c r="L170" i="4"/>
  <c r="S170" i="4" s="1"/>
  <c r="F170" i="4"/>
  <c r="H170" i="4" s="1"/>
  <c r="N170" i="4" s="1"/>
  <c r="X169" i="4"/>
  <c r="Z169" i="4" s="1"/>
  <c r="T169" i="4"/>
  <c r="O169" i="4"/>
  <c r="L169" i="4"/>
  <c r="S169" i="4" s="1"/>
  <c r="F169" i="4"/>
  <c r="H169" i="4" s="1"/>
  <c r="N169" i="4" s="1"/>
  <c r="X168" i="4"/>
  <c r="Z168" i="4" s="1"/>
  <c r="T168" i="4"/>
  <c r="O168" i="4"/>
  <c r="L168" i="4"/>
  <c r="S168" i="4" s="1"/>
  <c r="F168" i="4"/>
  <c r="H168" i="4" s="1"/>
  <c r="N168" i="4" s="1"/>
  <c r="X167" i="4"/>
  <c r="Z167" i="4" s="1"/>
  <c r="T167" i="4"/>
  <c r="O167" i="4"/>
  <c r="L167" i="4"/>
  <c r="S167" i="4" s="1"/>
  <c r="F167" i="4"/>
  <c r="H167" i="4" s="1"/>
  <c r="N167" i="4" s="1"/>
  <c r="X166" i="4"/>
  <c r="Z166" i="4" s="1"/>
  <c r="T166" i="4"/>
  <c r="O166" i="4"/>
  <c r="L166" i="4"/>
  <c r="F166" i="4"/>
  <c r="H166" i="4" s="1"/>
  <c r="N166" i="4" s="1"/>
  <c r="X165" i="4"/>
  <c r="Z165" i="4" s="1"/>
  <c r="T165" i="4"/>
  <c r="O165" i="4"/>
  <c r="L165" i="4"/>
  <c r="F165" i="4"/>
  <c r="H165" i="4" s="1"/>
  <c r="N165" i="4" s="1"/>
  <c r="X164" i="4"/>
  <c r="Z164" i="4" s="1"/>
  <c r="T164" i="4"/>
  <c r="O164" i="4"/>
  <c r="L164" i="4"/>
  <c r="F164" i="4"/>
  <c r="H164" i="4" s="1"/>
  <c r="N164" i="4" s="1"/>
  <c r="X163" i="4"/>
  <c r="Z163" i="4" s="1"/>
  <c r="T163" i="4"/>
  <c r="O163" i="4"/>
  <c r="L163" i="4"/>
  <c r="S163" i="4" s="1"/>
  <c r="F163" i="4"/>
  <c r="H163" i="4" s="1"/>
  <c r="N163" i="4" s="1"/>
  <c r="X162" i="4"/>
  <c r="Z162" i="4" s="1"/>
  <c r="T162" i="4"/>
  <c r="O162" i="4"/>
  <c r="L162" i="4"/>
  <c r="F162" i="4"/>
  <c r="H162" i="4" s="1"/>
  <c r="N162" i="4" s="1"/>
  <c r="X161" i="4"/>
  <c r="Z161" i="4" s="1"/>
  <c r="T161" i="4"/>
  <c r="O161" i="4"/>
  <c r="L161" i="4"/>
  <c r="S161" i="4" s="1"/>
  <c r="F161" i="4"/>
  <c r="H161" i="4" s="1"/>
  <c r="N161" i="4" s="1"/>
  <c r="X160" i="4"/>
  <c r="Z160" i="4" s="1"/>
  <c r="T160" i="4"/>
  <c r="O160" i="4"/>
  <c r="L160" i="4"/>
  <c r="S160" i="4" s="1"/>
  <c r="F160" i="4"/>
  <c r="H160" i="4" s="1"/>
  <c r="N160" i="4" s="1"/>
  <c r="X159" i="4"/>
  <c r="Z159" i="4" s="1"/>
  <c r="T159" i="4"/>
  <c r="O159" i="4"/>
  <c r="L159" i="4"/>
  <c r="S159" i="4" s="1"/>
  <c r="H159" i="4"/>
  <c r="N159" i="4" s="1"/>
  <c r="F159" i="4"/>
  <c r="X158" i="4"/>
  <c r="Z158" i="4" s="1"/>
  <c r="T158" i="4"/>
  <c r="O158" i="4"/>
  <c r="L158" i="4"/>
  <c r="S158" i="4" s="1"/>
  <c r="H158" i="4"/>
  <c r="N158" i="4" s="1"/>
  <c r="F158" i="4"/>
  <c r="X157" i="4"/>
  <c r="Z157" i="4" s="1"/>
  <c r="T157" i="4"/>
  <c r="O157" i="4"/>
  <c r="L157" i="4"/>
  <c r="F157" i="4"/>
  <c r="H157" i="4" s="1"/>
  <c r="N157" i="4" s="1"/>
  <c r="X156" i="4"/>
  <c r="Z156" i="4" s="1"/>
  <c r="T156" i="4"/>
  <c r="O156" i="4"/>
  <c r="L156" i="4"/>
  <c r="F156" i="4"/>
  <c r="H156" i="4" s="1"/>
  <c r="N156" i="4" s="1"/>
  <c r="X155" i="4"/>
  <c r="Z155" i="4" s="1"/>
  <c r="T155" i="4"/>
  <c r="O155" i="4"/>
  <c r="L155" i="4"/>
  <c r="S155" i="4" s="1"/>
  <c r="F155" i="4"/>
  <c r="H155" i="4" s="1"/>
  <c r="N155" i="4" s="1"/>
  <c r="X154" i="4"/>
  <c r="Z154" i="4" s="1"/>
  <c r="T154" i="4"/>
  <c r="O154" i="4"/>
  <c r="L154" i="4"/>
  <c r="S154" i="4" s="1"/>
  <c r="F154" i="4"/>
  <c r="H154" i="4" s="1"/>
  <c r="N154" i="4" s="1"/>
  <c r="X153" i="4"/>
  <c r="Z153" i="4" s="1"/>
  <c r="T153" i="4"/>
  <c r="O153" i="4"/>
  <c r="L153" i="4"/>
  <c r="H153" i="4"/>
  <c r="N153" i="4" s="1"/>
  <c r="F153" i="4"/>
  <c r="X152" i="4"/>
  <c r="Z152" i="4" s="1"/>
  <c r="T152" i="4"/>
  <c r="O152" i="4"/>
  <c r="L152" i="4"/>
  <c r="S152" i="4" s="1"/>
  <c r="F152" i="4"/>
  <c r="H152" i="4" s="1"/>
  <c r="N152" i="4" s="1"/>
  <c r="X151" i="4"/>
  <c r="Z151" i="4" s="1"/>
  <c r="T151" i="4"/>
  <c r="O151" i="4"/>
  <c r="L151" i="4"/>
  <c r="F151" i="4"/>
  <c r="H151" i="4" s="1"/>
  <c r="N151" i="4" s="1"/>
  <c r="X150" i="4"/>
  <c r="Z150" i="4" s="1"/>
  <c r="T150" i="4"/>
  <c r="O150" i="4"/>
  <c r="L150" i="4"/>
  <c r="S150" i="4" s="1"/>
  <c r="F150" i="4"/>
  <c r="H150" i="4" s="1"/>
  <c r="N150" i="4" s="1"/>
  <c r="X149" i="4"/>
  <c r="Z149" i="4" s="1"/>
  <c r="T149" i="4"/>
  <c r="O149" i="4"/>
  <c r="L149" i="4"/>
  <c r="S149" i="4" s="1"/>
  <c r="F149" i="4"/>
  <c r="H149" i="4" s="1"/>
  <c r="N149" i="4" s="1"/>
  <c r="X148" i="4"/>
  <c r="Z148" i="4" s="1"/>
  <c r="T148" i="4"/>
  <c r="O148" i="4"/>
  <c r="L148" i="4"/>
  <c r="S148" i="4" s="1"/>
  <c r="F148" i="4"/>
  <c r="H148" i="4" s="1"/>
  <c r="N148" i="4" s="1"/>
  <c r="X147" i="4"/>
  <c r="Z147" i="4" s="1"/>
  <c r="T147" i="4"/>
  <c r="O147" i="4"/>
  <c r="L147" i="4"/>
  <c r="F147" i="4"/>
  <c r="H147" i="4" s="1"/>
  <c r="N147" i="4" s="1"/>
  <c r="X146" i="4"/>
  <c r="Z146" i="4" s="1"/>
  <c r="T146" i="4"/>
  <c r="O146" i="4"/>
  <c r="L146" i="4"/>
  <c r="S146" i="4" s="1"/>
  <c r="F146" i="4"/>
  <c r="H146" i="4" s="1"/>
  <c r="N146" i="4" s="1"/>
  <c r="X145" i="4"/>
  <c r="Z145" i="4" s="1"/>
  <c r="O145" i="4"/>
  <c r="L145" i="4"/>
  <c r="F145" i="4"/>
  <c r="H145" i="4" s="1"/>
  <c r="N145" i="4" s="1"/>
  <c r="X144" i="4"/>
  <c r="Z144" i="4" s="1"/>
  <c r="O144" i="4"/>
  <c r="L144" i="4"/>
  <c r="S144" i="4" s="1"/>
  <c r="F144" i="4"/>
  <c r="H144" i="4" s="1"/>
  <c r="N144" i="4" s="1"/>
  <c r="X143" i="4"/>
  <c r="Z143" i="4" s="1"/>
  <c r="O143" i="4"/>
  <c r="L143" i="4"/>
  <c r="S143" i="4" s="1"/>
  <c r="F143" i="4"/>
  <c r="H143" i="4" s="1"/>
  <c r="N143" i="4" s="1"/>
  <c r="X142" i="4"/>
  <c r="Z142" i="4" s="1"/>
  <c r="O142" i="4"/>
  <c r="L142" i="4"/>
  <c r="F142" i="4"/>
  <c r="H142" i="4" s="1"/>
  <c r="N142" i="4" s="1"/>
  <c r="X141" i="4"/>
  <c r="Z141" i="4" s="1"/>
  <c r="O141" i="4"/>
  <c r="L141" i="4"/>
  <c r="S141" i="4" s="1"/>
  <c r="H141" i="4"/>
  <c r="N141" i="4" s="1"/>
  <c r="F141" i="4"/>
  <c r="X140" i="4"/>
  <c r="Z140" i="4" s="1"/>
  <c r="O140" i="4"/>
  <c r="L140" i="4"/>
  <c r="S140" i="4" s="1"/>
  <c r="F140" i="4"/>
  <c r="H140" i="4" s="1"/>
  <c r="N140" i="4" s="1"/>
  <c r="X139" i="4"/>
  <c r="Z139" i="4" s="1"/>
  <c r="O139" i="4"/>
  <c r="L139" i="4"/>
  <c r="S139" i="4" s="1"/>
  <c r="F139" i="4"/>
  <c r="H139" i="4" s="1"/>
  <c r="N139" i="4" s="1"/>
  <c r="X138" i="4"/>
  <c r="Z138" i="4" s="1"/>
  <c r="O138" i="4"/>
  <c r="N138" i="4"/>
  <c r="L138" i="4"/>
  <c r="F138" i="4"/>
  <c r="H138" i="4" s="1"/>
  <c r="X137" i="4"/>
  <c r="Z137" i="4" s="1"/>
  <c r="O137" i="4"/>
  <c r="L137" i="4"/>
  <c r="S137" i="4" s="1"/>
  <c r="F137" i="4"/>
  <c r="H137" i="4" s="1"/>
  <c r="N137" i="4" s="1"/>
  <c r="X136" i="4"/>
  <c r="Z136" i="4" s="1"/>
  <c r="O136" i="4"/>
  <c r="L136" i="4"/>
  <c r="S136" i="4" s="1"/>
  <c r="F136" i="4"/>
  <c r="H136" i="4" s="1"/>
  <c r="N136" i="4" s="1"/>
  <c r="X135" i="4"/>
  <c r="Z135" i="4" s="1"/>
  <c r="O135" i="4"/>
  <c r="L135" i="4"/>
  <c r="S135" i="4" s="1"/>
  <c r="F135" i="4"/>
  <c r="H135" i="4" s="1"/>
  <c r="N135" i="4" s="1"/>
  <c r="X134" i="4"/>
  <c r="Z134" i="4" s="1"/>
  <c r="O134" i="4"/>
  <c r="L134" i="4"/>
  <c r="F134" i="4"/>
  <c r="H134" i="4" s="1"/>
  <c r="N134" i="4" s="1"/>
  <c r="X133" i="4"/>
  <c r="Z133" i="4" s="1"/>
  <c r="O133" i="4"/>
  <c r="L133" i="4"/>
  <c r="S133" i="4" s="1"/>
  <c r="F133" i="4"/>
  <c r="H133" i="4" s="1"/>
  <c r="N133" i="4" s="1"/>
  <c r="X132" i="4"/>
  <c r="Z132" i="4" s="1"/>
  <c r="O132" i="4"/>
  <c r="L132" i="4"/>
  <c r="S132" i="4" s="1"/>
  <c r="F132" i="4"/>
  <c r="H132" i="4" s="1"/>
  <c r="N132" i="4" s="1"/>
  <c r="X131" i="4"/>
  <c r="Z131" i="4" s="1"/>
  <c r="O131" i="4"/>
  <c r="L131" i="4"/>
  <c r="S131" i="4" s="1"/>
  <c r="F131" i="4"/>
  <c r="H131" i="4" s="1"/>
  <c r="N131" i="4" s="1"/>
  <c r="X130" i="4"/>
  <c r="Z130" i="4" s="1"/>
  <c r="O130" i="4"/>
  <c r="L130" i="4"/>
  <c r="S130" i="4" s="1"/>
  <c r="F130" i="4"/>
  <c r="H130" i="4" s="1"/>
  <c r="N130" i="4" s="1"/>
  <c r="X129" i="4"/>
  <c r="Z129" i="4" s="1"/>
  <c r="O129" i="4"/>
  <c r="L129" i="4"/>
  <c r="F129" i="4"/>
  <c r="H129" i="4" s="1"/>
  <c r="N129" i="4" s="1"/>
  <c r="X128" i="4"/>
  <c r="Z128" i="4" s="1"/>
  <c r="O128" i="4"/>
  <c r="N128" i="4"/>
  <c r="L128" i="4"/>
  <c r="S128" i="4" s="1"/>
  <c r="F128" i="4"/>
  <c r="H128" i="4" s="1"/>
  <c r="X127" i="4"/>
  <c r="Z127" i="4" s="1"/>
  <c r="O127" i="4"/>
  <c r="L127" i="4"/>
  <c r="F127" i="4"/>
  <c r="H127" i="4" s="1"/>
  <c r="N127" i="4" s="1"/>
  <c r="X126" i="4"/>
  <c r="Z126" i="4" s="1"/>
  <c r="O126" i="4"/>
  <c r="L126" i="4"/>
  <c r="S126" i="4" s="1"/>
  <c r="F126" i="4"/>
  <c r="H126" i="4" s="1"/>
  <c r="N126" i="4" s="1"/>
  <c r="X125" i="4"/>
  <c r="Z125" i="4" s="1"/>
  <c r="O125" i="4"/>
  <c r="L125" i="4"/>
  <c r="S125" i="4" s="1"/>
  <c r="H125" i="4"/>
  <c r="N125" i="4" s="1"/>
  <c r="F125" i="4"/>
  <c r="X124" i="4"/>
  <c r="Z124" i="4" s="1"/>
  <c r="O124" i="4"/>
  <c r="L124" i="4"/>
  <c r="F124" i="4"/>
  <c r="H124" i="4" s="1"/>
  <c r="N124" i="4" s="1"/>
  <c r="X123" i="4"/>
  <c r="Z123" i="4" s="1"/>
  <c r="O123" i="4"/>
  <c r="L123" i="4"/>
  <c r="S123" i="4" s="1"/>
  <c r="F123" i="4"/>
  <c r="H123" i="4" s="1"/>
  <c r="N123" i="4" s="1"/>
  <c r="X122" i="4"/>
  <c r="Z122" i="4" s="1"/>
  <c r="O122" i="4"/>
  <c r="L122" i="4"/>
  <c r="S122" i="4" s="1"/>
  <c r="F122" i="4"/>
  <c r="H122" i="4" s="1"/>
  <c r="N122" i="4" s="1"/>
  <c r="X121" i="4"/>
  <c r="Z121" i="4" s="1"/>
  <c r="O121" i="4"/>
  <c r="L121" i="4"/>
  <c r="F121" i="4"/>
  <c r="H121" i="4" s="1"/>
  <c r="N121" i="4" s="1"/>
  <c r="X120" i="4"/>
  <c r="Z120" i="4" s="1"/>
  <c r="O120" i="4"/>
  <c r="L120" i="4"/>
  <c r="F120" i="4"/>
  <c r="H120" i="4" s="1"/>
  <c r="N120" i="4" s="1"/>
  <c r="X119" i="4"/>
  <c r="Z119" i="4" s="1"/>
  <c r="O119" i="4"/>
  <c r="L119" i="4"/>
  <c r="S119" i="4" s="1"/>
  <c r="F119" i="4"/>
  <c r="H119" i="4" s="1"/>
  <c r="N119" i="4" s="1"/>
  <c r="X118" i="4"/>
  <c r="Z118" i="4" s="1"/>
  <c r="O118" i="4"/>
  <c r="L118" i="4"/>
  <c r="S118" i="4" s="1"/>
  <c r="F118" i="4"/>
  <c r="H118" i="4" s="1"/>
  <c r="N118" i="4" s="1"/>
  <c r="X117" i="4"/>
  <c r="Z117" i="4" s="1"/>
  <c r="O117" i="4"/>
  <c r="L117" i="4"/>
  <c r="S117" i="4" s="1"/>
  <c r="F117" i="4"/>
  <c r="H117" i="4" s="1"/>
  <c r="N117" i="4" s="1"/>
  <c r="X116" i="4"/>
  <c r="Z116" i="4" s="1"/>
  <c r="O116" i="4"/>
  <c r="L116" i="4"/>
  <c r="S116" i="4" s="1"/>
  <c r="F116" i="4"/>
  <c r="H116" i="4" s="1"/>
  <c r="N116" i="4" s="1"/>
  <c r="X115" i="4"/>
  <c r="Z115" i="4" s="1"/>
  <c r="O115" i="4"/>
  <c r="L115" i="4"/>
  <c r="S115" i="4" s="1"/>
  <c r="F115" i="4"/>
  <c r="H115" i="4" s="1"/>
  <c r="N115" i="4" s="1"/>
  <c r="X114" i="4"/>
  <c r="Z114" i="4" s="1"/>
  <c r="O114" i="4"/>
  <c r="L114" i="4"/>
  <c r="S114" i="4" s="1"/>
  <c r="F114" i="4"/>
  <c r="H114" i="4" s="1"/>
  <c r="N114" i="4" s="1"/>
  <c r="X113" i="4"/>
  <c r="Z113" i="4" s="1"/>
  <c r="O113" i="4"/>
  <c r="L113" i="4"/>
  <c r="F113" i="4"/>
  <c r="H113" i="4" s="1"/>
  <c r="N113" i="4" s="1"/>
  <c r="X112" i="4"/>
  <c r="Z112" i="4" s="1"/>
  <c r="O112" i="4"/>
  <c r="L112" i="4"/>
  <c r="S112" i="4" s="1"/>
  <c r="F112" i="4"/>
  <c r="H112" i="4" s="1"/>
  <c r="N112" i="4" s="1"/>
  <c r="X111" i="4"/>
  <c r="Z111" i="4" s="1"/>
  <c r="O111" i="4"/>
  <c r="L111" i="4"/>
  <c r="S111" i="4" s="1"/>
  <c r="F111" i="4"/>
  <c r="H111" i="4" s="1"/>
  <c r="N111" i="4" s="1"/>
  <c r="X110" i="4"/>
  <c r="Z110" i="4" s="1"/>
  <c r="O110" i="4"/>
  <c r="L110" i="4"/>
  <c r="S110" i="4" s="1"/>
  <c r="F110" i="4"/>
  <c r="H110" i="4" s="1"/>
  <c r="N110" i="4" s="1"/>
  <c r="X109" i="4"/>
  <c r="Z109" i="4" s="1"/>
  <c r="O109" i="4"/>
  <c r="L109" i="4"/>
  <c r="F109" i="4"/>
  <c r="H109" i="4" s="1"/>
  <c r="N109" i="4" s="1"/>
  <c r="X108" i="4"/>
  <c r="Z108" i="4" s="1"/>
  <c r="O108" i="4"/>
  <c r="L108" i="4"/>
  <c r="S108" i="4" s="1"/>
  <c r="F108" i="4"/>
  <c r="H108" i="4" s="1"/>
  <c r="N108" i="4" s="1"/>
  <c r="X107" i="4"/>
  <c r="Z107" i="4" s="1"/>
  <c r="O107" i="4"/>
  <c r="L107" i="4"/>
  <c r="S107" i="4" s="1"/>
  <c r="F107" i="4"/>
  <c r="H107" i="4" s="1"/>
  <c r="N107" i="4" s="1"/>
  <c r="X106" i="4"/>
  <c r="Z106" i="4" s="1"/>
  <c r="O106" i="4"/>
  <c r="L106" i="4"/>
  <c r="S106" i="4" s="1"/>
  <c r="F106" i="4"/>
  <c r="H106" i="4" s="1"/>
  <c r="N106" i="4" s="1"/>
  <c r="X105" i="4"/>
  <c r="Z105" i="4" s="1"/>
  <c r="O105" i="4"/>
  <c r="L105" i="4"/>
  <c r="S105" i="4" s="1"/>
  <c r="F105" i="4"/>
  <c r="H105" i="4" s="1"/>
  <c r="N105" i="4" s="1"/>
  <c r="X104" i="4"/>
  <c r="Z104" i="4" s="1"/>
  <c r="O104" i="4"/>
  <c r="L104" i="4"/>
  <c r="S104" i="4" s="1"/>
  <c r="F104" i="4"/>
  <c r="H104" i="4" s="1"/>
  <c r="N104" i="4" s="1"/>
  <c r="X103" i="4"/>
  <c r="Z103" i="4" s="1"/>
  <c r="O103" i="4"/>
  <c r="L103" i="4"/>
  <c r="S103" i="4" s="1"/>
  <c r="F103" i="4"/>
  <c r="H103" i="4" s="1"/>
  <c r="N103" i="4" s="1"/>
  <c r="X102" i="4"/>
  <c r="Z102" i="4" s="1"/>
  <c r="O102" i="4"/>
  <c r="L102" i="4"/>
  <c r="F102" i="4"/>
  <c r="H102" i="4" s="1"/>
  <c r="N102" i="4" s="1"/>
  <c r="X101" i="4"/>
  <c r="Z101" i="4" s="1"/>
  <c r="O101" i="4"/>
  <c r="L101" i="4"/>
  <c r="S101" i="4" s="1"/>
  <c r="F101" i="4"/>
  <c r="H101" i="4" s="1"/>
  <c r="N101" i="4" s="1"/>
  <c r="X100" i="4"/>
  <c r="Z100" i="4" s="1"/>
  <c r="O100" i="4"/>
  <c r="L100" i="4"/>
  <c r="S100" i="4" s="1"/>
  <c r="F100" i="4"/>
  <c r="H100" i="4" s="1"/>
  <c r="N100" i="4" s="1"/>
  <c r="X99" i="4"/>
  <c r="Z99" i="4" s="1"/>
  <c r="O99" i="4"/>
  <c r="L99" i="4"/>
  <c r="F99" i="4"/>
  <c r="H99" i="4" s="1"/>
  <c r="N99" i="4" s="1"/>
  <c r="X98" i="4"/>
  <c r="Z98" i="4" s="1"/>
  <c r="O98" i="4"/>
  <c r="L98" i="4"/>
  <c r="F98" i="4"/>
  <c r="H98" i="4" s="1"/>
  <c r="N98" i="4" s="1"/>
  <c r="X97" i="4"/>
  <c r="Z97" i="4" s="1"/>
  <c r="O97" i="4"/>
  <c r="L97" i="4"/>
  <c r="F97" i="4"/>
  <c r="H97" i="4" s="1"/>
  <c r="N97" i="4" s="1"/>
  <c r="X96" i="4"/>
  <c r="Z96" i="4" s="1"/>
  <c r="O96" i="4"/>
  <c r="L96" i="4"/>
  <c r="S96" i="4" s="1"/>
  <c r="F96" i="4"/>
  <c r="H96" i="4" s="1"/>
  <c r="N96" i="4" s="1"/>
  <c r="X95" i="4"/>
  <c r="Z95" i="4" s="1"/>
  <c r="O95" i="4"/>
  <c r="L95" i="4"/>
  <c r="S95" i="4" s="1"/>
  <c r="F95" i="4"/>
  <c r="H95" i="4" s="1"/>
  <c r="N95" i="4" s="1"/>
  <c r="X94" i="4"/>
  <c r="Z94" i="4" s="1"/>
  <c r="O94" i="4"/>
  <c r="L94" i="4"/>
  <c r="S94" i="4" s="1"/>
  <c r="F94" i="4"/>
  <c r="H94" i="4" s="1"/>
  <c r="N94" i="4" s="1"/>
  <c r="X93" i="4"/>
  <c r="Z93" i="4" s="1"/>
  <c r="O93" i="4"/>
  <c r="L93" i="4"/>
  <c r="S93" i="4" s="1"/>
  <c r="F93" i="4"/>
  <c r="H93" i="4" s="1"/>
  <c r="N93" i="4" s="1"/>
  <c r="X92" i="4"/>
  <c r="Z92" i="4" s="1"/>
  <c r="O92" i="4"/>
  <c r="L92" i="4"/>
  <c r="S92" i="4" s="1"/>
  <c r="F92" i="4"/>
  <c r="H92" i="4" s="1"/>
  <c r="N92" i="4" s="1"/>
  <c r="X91" i="4"/>
  <c r="Z91" i="4" s="1"/>
  <c r="O91" i="4"/>
  <c r="L91" i="4"/>
  <c r="S91" i="4" s="1"/>
  <c r="F91" i="4"/>
  <c r="H91" i="4" s="1"/>
  <c r="N91" i="4" s="1"/>
  <c r="X90" i="4"/>
  <c r="Z90" i="4" s="1"/>
  <c r="O90" i="4"/>
  <c r="L90" i="4"/>
  <c r="S90" i="4" s="1"/>
  <c r="F90" i="4"/>
  <c r="H90" i="4" s="1"/>
  <c r="N90" i="4" s="1"/>
  <c r="X89" i="4"/>
  <c r="Z89" i="4" s="1"/>
  <c r="O89" i="4"/>
  <c r="L89" i="4"/>
  <c r="S89" i="4" s="1"/>
  <c r="F89" i="4"/>
  <c r="H89" i="4" s="1"/>
  <c r="N89" i="4" s="1"/>
  <c r="X88" i="4"/>
  <c r="Z88" i="4" s="1"/>
  <c r="O88" i="4"/>
  <c r="L88" i="4"/>
  <c r="S88" i="4" s="1"/>
  <c r="F88" i="4"/>
  <c r="H88" i="4" s="1"/>
  <c r="N88" i="4" s="1"/>
  <c r="X87" i="4"/>
  <c r="Z87" i="4" s="1"/>
  <c r="O87" i="4"/>
  <c r="L87" i="4"/>
  <c r="S87" i="4" s="1"/>
  <c r="F87" i="4"/>
  <c r="H87" i="4" s="1"/>
  <c r="N87" i="4" s="1"/>
  <c r="X86" i="4"/>
  <c r="Z86" i="4" s="1"/>
  <c r="O86" i="4"/>
  <c r="L86" i="4"/>
  <c r="F86" i="4"/>
  <c r="H86" i="4" s="1"/>
  <c r="N86" i="4" s="1"/>
  <c r="X85" i="4"/>
  <c r="Z85" i="4" s="1"/>
  <c r="O85" i="4"/>
  <c r="L85" i="4"/>
  <c r="F85" i="4"/>
  <c r="H85" i="4" s="1"/>
  <c r="N85" i="4" s="1"/>
  <c r="X84" i="4"/>
  <c r="Z84" i="4" s="1"/>
  <c r="S84" i="4"/>
  <c r="O84" i="4"/>
  <c r="L84" i="4"/>
  <c r="F84" i="4"/>
  <c r="H84" i="4" s="1"/>
  <c r="N84" i="4" s="1"/>
  <c r="X83" i="4"/>
  <c r="O83" i="4"/>
  <c r="L83" i="4"/>
  <c r="S83" i="4" s="1"/>
  <c r="H83" i="4"/>
  <c r="N83" i="4" s="1"/>
  <c r="F83" i="4"/>
  <c r="O82" i="4"/>
  <c r="L82" i="4"/>
  <c r="F82" i="4"/>
  <c r="H82" i="4" s="1"/>
  <c r="N82" i="4" s="1"/>
  <c r="O81" i="4"/>
  <c r="L81" i="4"/>
  <c r="F81" i="4"/>
  <c r="H81" i="4" s="1"/>
  <c r="N81" i="4" s="1"/>
  <c r="O80" i="4"/>
  <c r="L80" i="4"/>
  <c r="S80" i="4" s="1"/>
  <c r="F80" i="4"/>
  <c r="H80" i="4" s="1"/>
  <c r="N80" i="4" s="1"/>
  <c r="O79" i="4"/>
  <c r="L79" i="4"/>
  <c r="F79" i="4"/>
  <c r="H79" i="4" s="1"/>
  <c r="N79" i="4" s="1"/>
  <c r="O78" i="4"/>
  <c r="L78" i="4"/>
  <c r="S78" i="4" s="1"/>
  <c r="F78" i="4"/>
  <c r="H78" i="4" s="1"/>
  <c r="N78" i="4" s="1"/>
  <c r="O77" i="4"/>
  <c r="L77" i="4"/>
  <c r="F77" i="4"/>
  <c r="H77" i="4" s="1"/>
  <c r="N77" i="4" s="1"/>
  <c r="O76" i="4"/>
  <c r="L76" i="4"/>
  <c r="F76" i="4"/>
  <c r="H76" i="4" s="1"/>
  <c r="N76" i="4" s="1"/>
  <c r="O75" i="4"/>
  <c r="L75" i="4"/>
  <c r="S75" i="4" s="1"/>
  <c r="F75" i="4"/>
  <c r="H75" i="4" s="1"/>
  <c r="N75" i="4" s="1"/>
  <c r="O74" i="4"/>
  <c r="L74" i="4"/>
  <c r="F74" i="4"/>
  <c r="H74" i="4" s="1"/>
  <c r="N74" i="4" s="1"/>
  <c r="O73" i="4"/>
  <c r="L73" i="4"/>
  <c r="S73" i="4" s="1"/>
  <c r="F73" i="4"/>
  <c r="H73" i="4" s="1"/>
  <c r="N73" i="4" s="1"/>
  <c r="O72" i="4"/>
  <c r="L72" i="4"/>
  <c r="S72" i="4" s="1"/>
  <c r="F72" i="4"/>
  <c r="H72" i="4" s="1"/>
  <c r="N72" i="4" s="1"/>
  <c r="O71" i="4"/>
  <c r="L71" i="4"/>
  <c r="S71" i="4" s="1"/>
  <c r="F71" i="4"/>
  <c r="H71" i="4" s="1"/>
  <c r="N71" i="4" s="1"/>
  <c r="O70" i="4"/>
  <c r="L70" i="4"/>
  <c r="F70" i="4"/>
  <c r="H70" i="4" s="1"/>
  <c r="N70" i="4" s="1"/>
  <c r="O69" i="4"/>
  <c r="L69" i="4"/>
  <c r="F69" i="4"/>
  <c r="H69" i="4" s="1"/>
  <c r="N69" i="4" s="1"/>
  <c r="O68" i="4"/>
  <c r="L68" i="4"/>
  <c r="S68" i="4" s="1"/>
  <c r="F68" i="4"/>
  <c r="H68" i="4" s="1"/>
  <c r="N68" i="4" s="1"/>
  <c r="O67" i="4"/>
  <c r="L67" i="4"/>
  <c r="S67" i="4" s="1"/>
  <c r="F67" i="4"/>
  <c r="H67" i="4" s="1"/>
  <c r="N67" i="4" s="1"/>
  <c r="O66" i="4"/>
  <c r="L66" i="4"/>
  <c r="F66" i="4"/>
  <c r="H66" i="4" s="1"/>
  <c r="N66" i="4" s="1"/>
  <c r="O65" i="4"/>
  <c r="L65" i="4"/>
  <c r="F65" i="4"/>
  <c r="H65" i="4" s="1"/>
  <c r="N65" i="4" s="1"/>
  <c r="O64" i="4"/>
  <c r="L64" i="4"/>
  <c r="S64" i="4" s="1"/>
  <c r="F64" i="4"/>
  <c r="H64" i="4" s="1"/>
  <c r="N64" i="4" s="1"/>
  <c r="O63" i="4"/>
  <c r="L63" i="4"/>
  <c r="S63" i="4" s="1"/>
  <c r="F63" i="4"/>
  <c r="H63" i="4" s="1"/>
  <c r="N63" i="4" s="1"/>
  <c r="O62" i="4"/>
  <c r="L62" i="4"/>
  <c r="F62" i="4"/>
  <c r="H62" i="4" s="1"/>
  <c r="N62" i="4" s="1"/>
  <c r="O61" i="4"/>
  <c r="L61" i="4"/>
  <c r="S61" i="4" s="1"/>
  <c r="F61" i="4"/>
  <c r="H61" i="4" s="1"/>
  <c r="N61" i="4" s="1"/>
  <c r="S60" i="4"/>
  <c r="O60" i="4"/>
  <c r="L60" i="4"/>
  <c r="F60" i="4"/>
  <c r="H60" i="4" s="1"/>
  <c r="N60" i="4" s="1"/>
  <c r="O59" i="4"/>
  <c r="L59" i="4"/>
  <c r="S59" i="4" s="1"/>
  <c r="F59" i="4"/>
  <c r="H59" i="4" s="1"/>
  <c r="N59" i="4" s="1"/>
  <c r="O58" i="4"/>
  <c r="L58" i="4"/>
  <c r="F58" i="4"/>
  <c r="H58" i="4" s="1"/>
  <c r="N58" i="4" s="1"/>
  <c r="O57" i="4"/>
  <c r="L57" i="4"/>
  <c r="S57" i="4" s="1"/>
  <c r="F57" i="4"/>
  <c r="H57" i="4" s="1"/>
  <c r="N57" i="4" s="1"/>
  <c r="O56" i="4"/>
  <c r="L56" i="4"/>
  <c r="S56" i="4" s="1"/>
  <c r="F56" i="4"/>
  <c r="H56" i="4" s="1"/>
  <c r="N56" i="4" s="1"/>
  <c r="O55" i="4"/>
  <c r="L55" i="4"/>
  <c r="S55" i="4" s="1"/>
  <c r="F55" i="4"/>
  <c r="H55" i="4" s="1"/>
  <c r="N55" i="4" s="1"/>
  <c r="O54" i="4"/>
  <c r="L54" i="4"/>
  <c r="S54" i="4" s="1"/>
  <c r="F54" i="4"/>
  <c r="H54" i="4" s="1"/>
  <c r="N54" i="4" s="1"/>
  <c r="O53" i="4"/>
  <c r="L53" i="4"/>
  <c r="S53" i="4" s="1"/>
  <c r="F53" i="4"/>
  <c r="H53" i="4" s="1"/>
  <c r="N53" i="4" s="1"/>
  <c r="O52" i="4"/>
  <c r="L52" i="4"/>
  <c r="F52" i="4"/>
  <c r="H52" i="4" s="1"/>
  <c r="N52" i="4" s="1"/>
  <c r="O51" i="4"/>
  <c r="L51" i="4"/>
  <c r="F51" i="4"/>
  <c r="H51" i="4" s="1"/>
  <c r="N51" i="4" s="1"/>
  <c r="O50" i="4"/>
  <c r="L50" i="4"/>
  <c r="S50" i="4" s="1"/>
  <c r="H50" i="4"/>
  <c r="N50" i="4" s="1"/>
  <c r="F50" i="4"/>
  <c r="O49" i="4"/>
  <c r="L49" i="4"/>
  <c r="S49" i="4" s="1"/>
  <c r="F49" i="4"/>
  <c r="H49" i="4" s="1"/>
  <c r="N49" i="4" s="1"/>
  <c r="O48" i="4"/>
  <c r="L48" i="4"/>
  <c r="F48" i="4"/>
  <c r="H48" i="4" s="1"/>
  <c r="N48" i="4" s="1"/>
  <c r="O47" i="4"/>
  <c r="L47" i="4"/>
  <c r="F47" i="4"/>
  <c r="H47" i="4" s="1"/>
  <c r="N47" i="4" s="1"/>
  <c r="O46" i="4"/>
  <c r="L46" i="4"/>
  <c r="S46" i="4" s="1"/>
  <c r="F46" i="4"/>
  <c r="H46" i="4" s="1"/>
  <c r="N46" i="4" s="1"/>
  <c r="O45" i="4"/>
  <c r="L45" i="4"/>
  <c r="S45" i="4" s="1"/>
  <c r="F45" i="4"/>
  <c r="H45" i="4" s="1"/>
  <c r="N45" i="4" s="1"/>
  <c r="O44" i="4"/>
  <c r="L44" i="4"/>
  <c r="F44" i="4"/>
  <c r="H44" i="4" s="1"/>
  <c r="N44" i="4" s="1"/>
  <c r="O43" i="4"/>
  <c r="L43" i="4"/>
  <c r="S43" i="4" s="1"/>
  <c r="F43" i="4"/>
  <c r="H43" i="4" s="1"/>
  <c r="N43" i="4" s="1"/>
  <c r="S42" i="4"/>
  <c r="O42" i="4"/>
  <c r="L42" i="4"/>
  <c r="F42" i="4"/>
  <c r="H42" i="4" s="1"/>
  <c r="N42" i="4" s="1"/>
  <c r="O41" i="4"/>
  <c r="L41" i="4"/>
  <c r="S41" i="4" s="1"/>
  <c r="F41" i="4"/>
  <c r="H41" i="4" s="1"/>
  <c r="N41" i="4" s="1"/>
  <c r="O40" i="4"/>
  <c r="L40" i="4"/>
  <c r="F40" i="4"/>
  <c r="H40" i="4" s="1"/>
  <c r="N40" i="4" s="1"/>
  <c r="O39" i="4"/>
  <c r="L39" i="4"/>
  <c r="S39" i="4" s="1"/>
  <c r="F39" i="4"/>
  <c r="H39" i="4" s="1"/>
  <c r="N39" i="4" s="1"/>
  <c r="O38" i="4"/>
  <c r="L38" i="4"/>
  <c r="S38" i="4" s="1"/>
  <c r="F38" i="4"/>
  <c r="H38" i="4" s="1"/>
  <c r="N38" i="4" s="1"/>
  <c r="O37" i="4"/>
  <c r="L37" i="4"/>
  <c r="S37" i="4" s="1"/>
  <c r="F37" i="4"/>
  <c r="H37" i="4" s="1"/>
  <c r="N37" i="4" s="1"/>
  <c r="O36" i="4"/>
  <c r="L36" i="4"/>
  <c r="S36" i="4" s="1"/>
  <c r="F36" i="4"/>
  <c r="H36" i="4" s="1"/>
  <c r="N36" i="4" s="1"/>
  <c r="O35" i="4"/>
  <c r="L35" i="4"/>
  <c r="S35" i="4" s="1"/>
  <c r="F35" i="4"/>
  <c r="H35" i="4" s="1"/>
  <c r="N35" i="4" s="1"/>
  <c r="O34" i="4"/>
  <c r="L34" i="4"/>
  <c r="S34" i="4" s="1"/>
  <c r="F34" i="4"/>
  <c r="H34" i="4" s="1"/>
  <c r="N34" i="4" s="1"/>
  <c r="O33" i="4"/>
  <c r="L33" i="4"/>
  <c r="S33" i="4" s="1"/>
  <c r="F33" i="4"/>
  <c r="H33" i="4" s="1"/>
  <c r="N33" i="4" s="1"/>
  <c r="O32" i="4"/>
  <c r="L32" i="4"/>
  <c r="S32" i="4" s="1"/>
  <c r="F32" i="4"/>
  <c r="H32" i="4" s="1"/>
  <c r="N32" i="4" s="1"/>
  <c r="O31" i="4"/>
  <c r="L31" i="4"/>
  <c r="S31" i="4" s="1"/>
  <c r="F31" i="4"/>
  <c r="H31" i="4" s="1"/>
  <c r="N31" i="4" s="1"/>
  <c r="O30" i="4"/>
  <c r="L30" i="4"/>
  <c r="S30" i="4" s="1"/>
  <c r="F30" i="4"/>
  <c r="H30" i="4" s="1"/>
  <c r="N30" i="4" s="1"/>
  <c r="O29" i="4"/>
  <c r="L29" i="4"/>
  <c r="S29" i="4" s="1"/>
  <c r="F29" i="4"/>
  <c r="H29" i="4" s="1"/>
  <c r="N29" i="4" s="1"/>
  <c r="O28" i="4"/>
  <c r="L28" i="4"/>
  <c r="S28" i="4" s="1"/>
  <c r="F28" i="4"/>
  <c r="H28" i="4" s="1"/>
  <c r="N28" i="4" s="1"/>
  <c r="O27" i="4"/>
  <c r="L27" i="4"/>
  <c r="S27" i="4" s="1"/>
  <c r="F27" i="4"/>
  <c r="H27" i="4" s="1"/>
  <c r="N27" i="4" s="1"/>
  <c r="O26" i="4"/>
  <c r="L26" i="4"/>
  <c r="S26" i="4" s="1"/>
  <c r="F26" i="4"/>
  <c r="H26" i="4" s="1"/>
  <c r="N26" i="4" s="1"/>
  <c r="O25" i="4"/>
  <c r="L25" i="4"/>
  <c r="S25" i="4" s="1"/>
  <c r="F25" i="4"/>
  <c r="H25" i="4" s="1"/>
  <c r="N25" i="4" s="1"/>
  <c r="O24" i="4"/>
  <c r="L24" i="4"/>
  <c r="S24" i="4" s="1"/>
  <c r="F24" i="4"/>
  <c r="H24" i="4" s="1"/>
  <c r="N24" i="4" s="1"/>
  <c r="O23" i="4"/>
  <c r="L23" i="4"/>
  <c r="S23" i="4" s="1"/>
  <c r="F23" i="4"/>
  <c r="H23" i="4" s="1"/>
  <c r="N23" i="4" s="1"/>
  <c r="O22" i="4"/>
  <c r="L22" i="4"/>
  <c r="S22" i="4" s="1"/>
  <c r="AK22" i="4" s="1"/>
  <c r="F22" i="4"/>
  <c r="H22" i="4" s="1"/>
  <c r="N22" i="4" s="1"/>
  <c r="O21" i="4"/>
  <c r="L21" i="4"/>
  <c r="S21" i="4" s="1"/>
  <c r="AK21" i="4" s="1"/>
  <c r="F21" i="4"/>
  <c r="H21" i="4" s="1"/>
  <c r="N21" i="4" s="1"/>
  <c r="O20" i="4"/>
  <c r="L20" i="4"/>
  <c r="S20" i="4" s="1"/>
  <c r="AK20" i="4" s="1"/>
  <c r="F20" i="4"/>
  <c r="H20" i="4" s="1"/>
  <c r="N20" i="4" s="1"/>
  <c r="O19" i="4"/>
  <c r="L19" i="4"/>
  <c r="S19" i="4" s="1"/>
  <c r="F19" i="4"/>
  <c r="H19" i="4" s="1"/>
  <c r="N19" i="4" s="1"/>
  <c r="O18" i="4"/>
  <c r="L18" i="4"/>
  <c r="S18" i="4" s="1"/>
  <c r="AK18" i="4" s="1"/>
  <c r="F18" i="4"/>
  <c r="H18" i="4" s="1"/>
  <c r="N18" i="4" s="1"/>
  <c r="O17" i="4"/>
  <c r="L17" i="4"/>
  <c r="S17" i="4" s="1"/>
  <c r="AK17" i="4" s="1"/>
  <c r="F17" i="4"/>
  <c r="AO23" i="2"/>
  <c r="AR23" i="2"/>
  <c r="F197" i="2"/>
  <c r="H197" i="2" s="1"/>
  <c r="N197" i="2" s="1"/>
  <c r="L197" i="2"/>
  <c r="S197" i="2" s="1"/>
  <c r="O197" i="2"/>
  <c r="T197" i="2"/>
  <c r="X197" i="2"/>
  <c r="Z197" i="2" s="1"/>
  <c r="AD197" i="2"/>
  <c r="C9" i="3"/>
  <c r="B9" i="3"/>
  <c r="B10" i="3" s="1"/>
  <c r="B11" i="3" s="1"/>
  <c r="A10" i="3"/>
  <c r="C10" i="3" s="1"/>
  <c r="A11" i="3"/>
  <c r="C11" i="3" s="1"/>
  <c r="A9" i="3"/>
  <c r="C4" i="3"/>
  <c r="C5" i="3"/>
  <c r="C3" i="3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D24" i="2"/>
  <c r="AD23" i="2"/>
  <c r="F18" i="2"/>
  <c r="H18" i="2" s="1"/>
  <c r="N18" i="2" s="1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AB23" i="2"/>
  <c r="AL23" i="2" s="1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O17" i="2"/>
  <c r="L17" i="2"/>
  <c r="S17" i="2" s="1"/>
  <c r="AK17" i="2" s="1"/>
  <c r="L18" i="2"/>
  <c r="S18" i="2" s="1"/>
  <c r="AK18" i="2" s="1"/>
  <c r="L19" i="2"/>
  <c r="S19" i="2" s="1"/>
  <c r="AK19" i="2" s="1"/>
  <c r="L20" i="2"/>
  <c r="S20" i="2" s="1"/>
  <c r="AK20" i="2" s="1"/>
  <c r="L21" i="2"/>
  <c r="S21" i="2" s="1"/>
  <c r="AK21" i="2" s="1"/>
  <c r="L22" i="2"/>
  <c r="S22" i="2" s="1"/>
  <c r="AK22" i="2" s="1"/>
  <c r="L23" i="2"/>
  <c r="S23" i="2" s="1"/>
  <c r="AP23" i="2" s="1"/>
  <c r="AQ23" i="2" s="1"/>
  <c r="L24" i="2"/>
  <c r="S24" i="2" s="1"/>
  <c r="L25" i="2"/>
  <c r="S25" i="2" s="1"/>
  <c r="L26" i="2"/>
  <c r="S26" i="2" s="1"/>
  <c r="L27" i="2"/>
  <c r="S27" i="2" s="1"/>
  <c r="L28" i="2"/>
  <c r="S28" i="2" s="1"/>
  <c r="L29" i="2"/>
  <c r="S29" i="2" s="1"/>
  <c r="L30" i="2"/>
  <c r="S30" i="2" s="1"/>
  <c r="L31" i="2"/>
  <c r="S31" i="2" s="1"/>
  <c r="L32" i="2"/>
  <c r="S32" i="2" s="1"/>
  <c r="L33" i="2"/>
  <c r="S33" i="2" s="1"/>
  <c r="L34" i="2"/>
  <c r="S34" i="2" s="1"/>
  <c r="L35" i="2"/>
  <c r="S35" i="2" s="1"/>
  <c r="L36" i="2"/>
  <c r="S36" i="2" s="1"/>
  <c r="L37" i="2"/>
  <c r="S37" i="2" s="1"/>
  <c r="L38" i="2"/>
  <c r="S38" i="2" s="1"/>
  <c r="L39" i="2"/>
  <c r="S39" i="2" s="1"/>
  <c r="L40" i="2"/>
  <c r="S40" i="2" s="1"/>
  <c r="L41" i="2"/>
  <c r="S41" i="2" s="1"/>
  <c r="L42" i="2"/>
  <c r="S42" i="2" s="1"/>
  <c r="L43" i="2"/>
  <c r="S43" i="2" s="1"/>
  <c r="L44" i="2"/>
  <c r="S44" i="2" s="1"/>
  <c r="L45" i="2"/>
  <c r="S45" i="2" s="1"/>
  <c r="L46" i="2"/>
  <c r="S46" i="2" s="1"/>
  <c r="L47" i="2"/>
  <c r="S47" i="2" s="1"/>
  <c r="L48" i="2"/>
  <c r="S48" i="2" s="1"/>
  <c r="L49" i="2"/>
  <c r="S49" i="2" s="1"/>
  <c r="L50" i="2"/>
  <c r="S50" i="2" s="1"/>
  <c r="L51" i="2"/>
  <c r="S51" i="2" s="1"/>
  <c r="L52" i="2"/>
  <c r="S52" i="2" s="1"/>
  <c r="L53" i="2"/>
  <c r="S53" i="2" s="1"/>
  <c r="L54" i="2"/>
  <c r="S54" i="2" s="1"/>
  <c r="L55" i="2"/>
  <c r="S55" i="2" s="1"/>
  <c r="L56" i="2"/>
  <c r="S56" i="2" s="1"/>
  <c r="L57" i="2"/>
  <c r="S57" i="2" s="1"/>
  <c r="L58" i="2"/>
  <c r="S58" i="2" s="1"/>
  <c r="L59" i="2"/>
  <c r="S59" i="2" s="1"/>
  <c r="L60" i="2"/>
  <c r="S60" i="2" s="1"/>
  <c r="L61" i="2"/>
  <c r="S61" i="2" s="1"/>
  <c r="L62" i="2"/>
  <c r="S62" i="2" s="1"/>
  <c r="L63" i="2"/>
  <c r="S63" i="2" s="1"/>
  <c r="L64" i="2"/>
  <c r="S64" i="2" s="1"/>
  <c r="L65" i="2"/>
  <c r="S65" i="2" s="1"/>
  <c r="L66" i="2"/>
  <c r="S66" i="2" s="1"/>
  <c r="L67" i="2"/>
  <c r="S67" i="2" s="1"/>
  <c r="L68" i="2"/>
  <c r="S68" i="2" s="1"/>
  <c r="L69" i="2"/>
  <c r="S69" i="2" s="1"/>
  <c r="L70" i="2"/>
  <c r="S70" i="2" s="1"/>
  <c r="L71" i="2"/>
  <c r="S71" i="2" s="1"/>
  <c r="L72" i="2"/>
  <c r="S72" i="2" s="1"/>
  <c r="L73" i="2"/>
  <c r="S73" i="2" s="1"/>
  <c r="L74" i="2"/>
  <c r="S74" i="2" s="1"/>
  <c r="L75" i="2"/>
  <c r="S75" i="2" s="1"/>
  <c r="L76" i="2"/>
  <c r="S76" i="2" s="1"/>
  <c r="L77" i="2"/>
  <c r="S77" i="2" s="1"/>
  <c r="L78" i="2"/>
  <c r="S78" i="2" s="1"/>
  <c r="L79" i="2"/>
  <c r="S79" i="2" s="1"/>
  <c r="L80" i="2"/>
  <c r="S80" i="2" s="1"/>
  <c r="L81" i="2"/>
  <c r="S81" i="2" s="1"/>
  <c r="L82" i="2"/>
  <c r="S82" i="2" s="1"/>
  <c r="L83" i="2"/>
  <c r="S83" i="2" s="1"/>
  <c r="L84" i="2"/>
  <c r="S84" i="2" s="1"/>
  <c r="L85" i="2"/>
  <c r="S85" i="2" s="1"/>
  <c r="L86" i="2"/>
  <c r="S86" i="2" s="1"/>
  <c r="L87" i="2"/>
  <c r="S87" i="2" s="1"/>
  <c r="L88" i="2"/>
  <c r="S88" i="2" s="1"/>
  <c r="L89" i="2"/>
  <c r="S89" i="2" s="1"/>
  <c r="L90" i="2"/>
  <c r="S90" i="2" s="1"/>
  <c r="L91" i="2"/>
  <c r="S91" i="2" s="1"/>
  <c r="L92" i="2"/>
  <c r="S92" i="2" s="1"/>
  <c r="L93" i="2"/>
  <c r="S93" i="2" s="1"/>
  <c r="L94" i="2"/>
  <c r="S94" i="2" s="1"/>
  <c r="L95" i="2"/>
  <c r="S95" i="2" s="1"/>
  <c r="L96" i="2"/>
  <c r="S96" i="2" s="1"/>
  <c r="L97" i="2"/>
  <c r="S97" i="2" s="1"/>
  <c r="L98" i="2"/>
  <c r="S98" i="2" s="1"/>
  <c r="L99" i="2"/>
  <c r="S99" i="2" s="1"/>
  <c r="L100" i="2"/>
  <c r="S100" i="2" s="1"/>
  <c r="L101" i="2"/>
  <c r="S101" i="2" s="1"/>
  <c r="L102" i="2"/>
  <c r="S102" i="2" s="1"/>
  <c r="L103" i="2"/>
  <c r="S103" i="2" s="1"/>
  <c r="L104" i="2"/>
  <c r="S104" i="2" s="1"/>
  <c r="L105" i="2"/>
  <c r="S105" i="2" s="1"/>
  <c r="L106" i="2"/>
  <c r="S106" i="2" s="1"/>
  <c r="L107" i="2"/>
  <c r="S107" i="2" s="1"/>
  <c r="L108" i="2"/>
  <c r="S108" i="2" s="1"/>
  <c r="L109" i="2"/>
  <c r="S109" i="2" s="1"/>
  <c r="L110" i="2"/>
  <c r="S110" i="2" s="1"/>
  <c r="L111" i="2"/>
  <c r="S111" i="2" s="1"/>
  <c r="L112" i="2"/>
  <c r="S112" i="2" s="1"/>
  <c r="L113" i="2"/>
  <c r="S113" i="2" s="1"/>
  <c r="L114" i="2"/>
  <c r="S114" i="2" s="1"/>
  <c r="L115" i="2"/>
  <c r="S115" i="2" s="1"/>
  <c r="L116" i="2"/>
  <c r="S116" i="2" s="1"/>
  <c r="L117" i="2"/>
  <c r="S117" i="2" s="1"/>
  <c r="L118" i="2"/>
  <c r="S118" i="2" s="1"/>
  <c r="L119" i="2"/>
  <c r="S119" i="2" s="1"/>
  <c r="L120" i="2"/>
  <c r="S120" i="2" s="1"/>
  <c r="L121" i="2"/>
  <c r="S121" i="2" s="1"/>
  <c r="L122" i="2"/>
  <c r="S122" i="2" s="1"/>
  <c r="L123" i="2"/>
  <c r="S123" i="2" s="1"/>
  <c r="L124" i="2"/>
  <c r="S124" i="2" s="1"/>
  <c r="L125" i="2"/>
  <c r="S125" i="2" s="1"/>
  <c r="L126" i="2"/>
  <c r="S126" i="2" s="1"/>
  <c r="L127" i="2"/>
  <c r="S127" i="2" s="1"/>
  <c r="L128" i="2"/>
  <c r="S128" i="2" s="1"/>
  <c r="L129" i="2"/>
  <c r="S129" i="2" s="1"/>
  <c r="L130" i="2"/>
  <c r="S130" i="2" s="1"/>
  <c r="L131" i="2"/>
  <c r="S131" i="2" s="1"/>
  <c r="L132" i="2"/>
  <c r="S132" i="2" s="1"/>
  <c r="L133" i="2"/>
  <c r="S133" i="2" s="1"/>
  <c r="L134" i="2"/>
  <c r="S134" i="2" s="1"/>
  <c r="L135" i="2"/>
  <c r="S135" i="2" s="1"/>
  <c r="L136" i="2"/>
  <c r="S136" i="2" s="1"/>
  <c r="L137" i="2"/>
  <c r="S137" i="2" s="1"/>
  <c r="L138" i="2"/>
  <c r="S138" i="2" s="1"/>
  <c r="L139" i="2"/>
  <c r="S139" i="2" s="1"/>
  <c r="L140" i="2"/>
  <c r="S140" i="2" s="1"/>
  <c r="L141" i="2"/>
  <c r="S141" i="2" s="1"/>
  <c r="L142" i="2"/>
  <c r="S142" i="2" s="1"/>
  <c r="L143" i="2"/>
  <c r="S143" i="2" s="1"/>
  <c r="L144" i="2"/>
  <c r="S144" i="2" s="1"/>
  <c r="L145" i="2"/>
  <c r="S145" i="2" s="1"/>
  <c r="L146" i="2"/>
  <c r="S146" i="2" s="1"/>
  <c r="L147" i="2"/>
  <c r="S147" i="2" s="1"/>
  <c r="L148" i="2"/>
  <c r="S148" i="2" s="1"/>
  <c r="L149" i="2"/>
  <c r="S149" i="2" s="1"/>
  <c r="L150" i="2"/>
  <c r="S150" i="2" s="1"/>
  <c r="L151" i="2"/>
  <c r="S151" i="2" s="1"/>
  <c r="L152" i="2"/>
  <c r="S152" i="2" s="1"/>
  <c r="L153" i="2"/>
  <c r="S153" i="2" s="1"/>
  <c r="L154" i="2"/>
  <c r="S154" i="2" s="1"/>
  <c r="L155" i="2"/>
  <c r="S155" i="2" s="1"/>
  <c r="L156" i="2"/>
  <c r="S156" i="2" s="1"/>
  <c r="L157" i="2"/>
  <c r="S157" i="2" s="1"/>
  <c r="L158" i="2"/>
  <c r="S158" i="2" s="1"/>
  <c r="L159" i="2"/>
  <c r="S159" i="2" s="1"/>
  <c r="L160" i="2"/>
  <c r="S160" i="2" s="1"/>
  <c r="L161" i="2"/>
  <c r="S161" i="2" s="1"/>
  <c r="L162" i="2"/>
  <c r="S162" i="2" s="1"/>
  <c r="L163" i="2"/>
  <c r="S163" i="2" s="1"/>
  <c r="L164" i="2"/>
  <c r="S164" i="2" s="1"/>
  <c r="L165" i="2"/>
  <c r="S165" i="2" s="1"/>
  <c r="L166" i="2"/>
  <c r="S166" i="2" s="1"/>
  <c r="L167" i="2"/>
  <c r="S167" i="2" s="1"/>
  <c r="L168" i="2"/>
  <c r="S168" i="2" s="1"/>
  <c r="L169" i="2"/>
  <c r="S169" i="2" s="1"/>
  <c r="L170" i="2"/>
  <c r="S170" i="2" s="1"/>
  <c r="L171" i="2"/>
  <c r="S171" i="2" s="1"/>
  <c r="L172" i="2"/>
  <c r="S172" i="2" s="1"/>
  <c r="L173" i="2"/>
  <c r="S173" i="2" s="1"/>
  <c r="L174" i="2"/>
  <c r="S174" i="2" s="1"/>
  <c r="L175" i="2"/>
  <c r="S175" i="2" s="1"/>
  <c r="L176" i="2"/>
  <c r="S176" i="2" s="1"/>
  <c r="L177" i="2"/>
  <c r="S177" i="2" s="1"/>
  <c r="L178" i="2"/>
  <c r="S178" i="2" s="1"/>
  <c r="L179" i="2"/>
  <c r="S179" i="2" s="1"/>
  <c r="L180" i="2"/>
  <c r="S180" i="2" s="1"/>
  <c r="L181" i="2"/>
  <c r="S181" i="2" s="1"/>
  <c r="L182" i="2"/>
  <c r="S182" i="2" s="1"/>
  <c r="L183" i="2"/>
  <c r="S183" i="2" s="1"/>
  <c r="L184" i="2"/>
  <c r="S184" i="2" s="1"/>
  <c r="L185" i="2"/>
  <c r="S185" i="2" s="1"/>
  <c r="L186" i="2"/>
  <c r="S186" i="2" s="1"/>
  <c r="L187" i="2"/>
  <c r="S187" i="2" s="1"/>
  <c r="L188" i="2"/>
  <c r="S188" i="2" s="1"/>
  <c r="L189" i="2"/>
  <c r="S189" i="2" s="1"/>
  <c r="L190" i="2"/>
  <c r="S190" i="2" s="1"/>
  <c r="L191" i="2"/>
  <c r="S191" i="2" s="1"/>
  <c r="L192" i="2"/>
  <c r="S192" i="2" s="1"/>
  <c r="L193" i="2"/>
  <c r="S193" i="2" s="1"/>
  <c r="L194" i="2"/>
  <c r="S194" i="2" s="1"/>
  <c r="L195" i="2"/>
  <c r="S195" i="2" s="1"/>
  <c r="L196" i="2"/>
  <c r="S196" i="2" s="1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AA23" i="2"/>
  <c r="X23" i="2"/>
  <c r="X24" i="2"/>
  <c r="Z24" i="2" s="1"/>
  <c r="X25" i="2"/>
  <c r="Z25" i="2" s="1"/>
  <c r="X26" i="2"/>
  <c r="Z26" i="2" s="1"/>
  <c r="X27" i="2"/>
  <c r="Z27" i="2" s="1"/>
  <c r="X28" i="2"/>
  <c r="Z28" i="2" s="1"/>
  <c r="X29" i="2"/>
  <c r="Z29" i="2" s="1"/>
  <c r="X30" i="2"/>
  <c r="Z30" i="2" s="1"/>
  <c r="X31" i="2"/>
  <c r="Z31" i="2" s="1"/>
  <c r="X32" i="2"/>
  <c r="Z32" i="2" s="1"/>
  <c r="X33" i="2"/>
  <c r="Z33" i="2" s="1"/>
  <c r="X34" i="2"/>
  <c r="Z34" i="2" s="1"/>
  <c r="X35" i="2"/>
  <c r="Z35" i="2" s="1"/>
  <c r="X36" i="2"/>
  <c r="Z36" i="2" s="1"/>
  <c r="X37" i="2"/>
  <c r="Z37" i="2" s="1"/>
  <c r="X38" i="2"/>
  <c r="Z38" i="2" s="1"/>
  <c r="X39" i="2"/>
  <c r="Z39" i="2" s="1"/>
  <c r="X40" i="2"/>
  <c r="Z40" i="2" s="1"/>
  <c r="X41" i="2"/>
  <c r="Z41" i="2" s="1"/>
  <c r="X42" i="2"/>
  <c r="Z42" i="2" s="1"/>
  <c r="X43" i="2"/>
  <c r="Z43" i="2" s="1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 s="1"/>
  <c r="X50" i="2"/>
  <c r="Z50" i="2" s="1"/>
  <c r="X51" i="2"/>
  <c r="Z51" i="2" s="1"/>
  <c r="X52" i="2"/>
  <c r="Z52" i="2" s="1"/>
  <c r="X53" i="2"/>
  <c r="Z53" i="2" s="1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X61" i="2"/>
  <c r="Z61" i="2" s="1"/>
  <c r="X62" i="2"/>
  <c r="Z62" i="2" s="1"/>
  <c r="X63" i="2"/>
  <c r="Z63" i="2" s="1"/>
  <c r="X64" i="2"/>
  <c r="Z64" i="2" s="1"/>
  <c r="X65" i="2"/>
  <c r="Z65" i="2" s="1"/>
  <c r="X66" i="2"/>
  <c r="Z66" i="2" s="1"/>
  <c r="X67" i="2"/>
  <c r="Z67" i="2" s="1"/>
  <c r="X68" i="2"/>
  <c r="Z68" i="2" s="1"/>
  <c r="X69" i="2"/>
  <c r="Z69" i="2" s="1"/>
  <c r="X70" i="2"/>
  <c r="Z70" i="2" s="1"/>
  <c r="X71" i="2"/>
  <c r="Z71" i="2" s="1"/>
  <c r="X72" i="2"/>
  <c r="Z72" i="2" s="1"/>
  <c r="X73" i="2"/>
  <c r="Z73" i="2" s="1"/>
  <c r="X74" i="2"/>
  <c r="Z74" i="2" s="1"/>
  <c r="X75" i="2"/>
  <c r="Z75" i="2" s="1"/>
  <c r="X76" i="2"/>
  <c r="Z76" i="2" s="1"/>
  <c r="X77" i="2"/>
  <c r="Z77" i="2" s="1"/>
  <c r="X78" i="2"/>
  <c r="Z78" i="2" s="1"/>
  <c r="X79" i="2"/>
  <c r="Z79" i="2" s="1"/>
  <c r="X80" i="2"/>
  <c r="Z80" i="2" s="1"/>
  <c r="X81" i="2"/>
  <c r="Z81" i="2" s="1"/>
  <c r="X82" i="2"/>
  <c r="Z82" i="2" s="1"/>
  <c r="X83" i="2"/>
  <c r="Z83" i="2" s="1"/>
  <c r="X84" i="2"/>
  <c r="Z84" i="2" s="1"/>
  <c r="X85" i="2"/>
  <c r="Z85" i="2" s="1"/>
  <c r="X86" i="2"/>
  <c r="Z86" i="2" s="1"/>
  <c r="X87" i="2"/>
  <c r="Z87" i="2" s="1"/>
  <c r="X88" i="2"/>
  <c r="Z88" i="2" s="1"/>
  <c r="X89" i="2"/>
  <c r="Z89" i="2" s="1"/>
  <c r="X90" i="2"/>
  <c r="Z90" i="2" s="1"/>
  <c r="X91" i="2"/>
  <c r="Z91" i="2" s="1"/>
  <c r="X92" i="2"/>
  <c r="Z92" i="2" s="1"/>
  <c r="X93" i="2"/>
  <c r="Z93" i="2" s="1"/>
  <c r="X94" i="2"/>
  <c r="Z94" i="2" s="1"/>
  <c r="X95" i="2"/>
  <c r="Z95" i="2" s="1"/>
  <c r="X96" i="2"/>
  <c r="Z96" i="2" s="1"/>
  <c r="X97" i="2"/>
  <c r="Z97" i="2" s="1"/>
  <c r="X98" i="2"/>
  <c r="Z98" i="2" s="1"/>
  <c r="X99" i="2"/>
  <c r="Z99" i="2" s="1"/>
  <c r="X100" i="2"/>
  <c r="Z100" i="2" s="1"/>
  <c r="X101" i="2"/>
  <c r="Z101" i="2" s="1"/>
  <c r="X102" i="2"/>
  <c r="Z102" i="2" s="1"/>
  <c r="X103" i="2"/>
  <c r="Z103" i="2" s="1"/>
  <c r="X104" i="2"/>
  <c r="Z104" i="2" s="1"/>
  <c r="X105" i="2"/>
  <c r="Z105" i="2" s="1"/>
  <c r="X106" i="2"/>
  <c r="Z106" i="2" s="1"/>
  <c r="X107" i="2"/>
  <c r="Z107" i="2" s="1"/>
  <c r="X108" i="2"/>
  <c r="Z108" i="2" s="1"/>
  <c r="X109" i="2"/>
  <c r="Z109" i="2" s="1"/>
  <c r="X110" i="2"/>
  <c r="Z110" i="2" s="1"/>
  <c r="X111" i="2"/>
  <c r="Z111" i="2" s="1"/>
  <c r="X112" i="2"/>
  <c r="Z112" i="2" s="1"/>
  <c r="X113" i="2"/>
  <c r="Z113" i="2" s="1"/>
  <c r="X114" i="2"/>
  <c r="Z114" i="2" s="1"/>
  <c r="X115" i="2"/>
  <c r="Z115" i="2" s="1"/>
  <c r="X116" i="2"/>
  <c r="Z116" i="2" s="1"/>
  <c r="X117" i="2"/>
  <c r="Z117" i="2" s="1"/>
  <c r="X118" i="2"/>
  <c r="Z118" i="2" s="1"/>
  <c r="X119" i="2"/>
  <c r="Z119" i="2" s="1"/>
  <c r="X120" i="2"/>
  <c r="Z120" i="2" s="1"/>
  <c r="X121" i="2"/>
  <c r="Z121" i="2" s="1"/>
  <c r="X122" i="2"/>
  <c r="Z122" i="2" s="1"/>
  <c r="X123" i="2"/>
  <c r="Z123" i="2" s="1"/>
  <c r="X124" i="2"/>
  <c r="Z124" i="2" s="1"/>
  <c r="X125" i="2"/>
  <c r="Z125" i="2" s="1"/>
  <c r="X126" i="2"/>
  <c r="Z126" i="2" s="1"/>
  <c r="X127" i="2"/>
  <c r="Z127" i="2" s="1"/>
  <c r="X128" i="2"/>
  <c r="Z128" i="2" s="1"/>
  <c r="X129" i="2"/>
  <c r="Z129" i="2" s="1"/>
  <c r="X130" i="2"/>
  <c r="Z130" i="2" s="1"/>
  <c r="X131" i="2"/>
  <c r="Z131" i="2" s="1"/>
  <c r="X132" i="2"/>
  <c r="Z132" i="2" s="1"/>
  <c r="X133" i="2"/>
  <c r="Z133" i="2" s="1"/>
  <c r="X134" i="2"/>
  <c r="Z134" i="2" s="1"/>
  <c r="X135" i="2"/>
  <c r="Z135" i="2" s="1"/>
  <c r="X136" i="2"/>
  <c r="Z136" i="2" s="1"/>
  <c r="X137" i="2"/>
  <c r="Z137" i="2" s="1"/>
  <c r="X138" i="2"/>
  <c r="Z138" i="2" s="1"/>
  <c r="X139" i="2"/>
  <c r="Z139" i="2" s="1"/>
  <c r="X140" i="2"/>
  <c r="Z140" i="2" s="1"/>
  <c r="X141" i="2"/>
  <c r="Z141" i="2" s="1"/>
  <c r="X142" i="2"/>
  <c r="Z142" i="2" s="1"/>
  <c r="X143" i="2"/>
  <c r="Z143" i="2" s="1"/>
  <c r="X144" i="2"/>
  <c r="Z144" i="2" s="1"/>
  <c r="X145" i="2"/>
  <c r="Z145" i="2" s="1"/>
  <c r="X146" i="2"/>
  <c r="Z146" i="2" s="1"/>
  <c r="X147" i="2"/>
  <c r="Z147" i="2" s="1"/>
  <c r="X148" i="2"/>
  <c r="Z148" i="2" s="1"/>
  <c r="X149" i="2"/>
  <c r="Z149" i="2" s="1"/>
  <c r="X150" i="2"/>
  <c r="Z150" i="2" s="1"/>
  <c r="X151" i="2"/>
  <c r="Z151" i="2" s="1"/>
  <c r="X152" i="2"/>
  <c r="Z152" i="2" s="1"/>
  <c r="X153" i="2"/>
  <c r="Z153" i="2" s="1"/>
  <c r="X154" i="2"/>
  <c r="Z154" i="2" s="1"/>
  <c r="X155" i="2"/>
  <c r="Z155" i="2" s="1"/>
  <c r="X156" i="2"/>
  <c r="Z156" i="2" s="1"/>
  <c r="X157" i="2"/>
  <c r="Z157" i="2" s="1"/>
  <c r="X158" i="2"/>
  <c r="Z158" i="2" s="1"/>
  <c r="X159" i="2"/>
  <c r="Z159" i="2" s="1"/>
  <c r="X160" i="2"/>
  <c r="Z160" i="2" s="1"/>
  <c r="X161" i="2"/>
  <c r="Z161" i="2" s="1"/>
  <c r="X162" i="2"/>
  <c r="Z162" i="2" s="1"/>
  <c r="X163" i="2"/>
  <c r="Z163" i="2" s="1"/>
  <c r="X164" i="2"/>
  <c r="Z164" i="2" s="1"/>
  <c r="X165" i="2"/>
  <c r="Z165" i="2" s="1"/>
  <c r="X166" i="2"/>
  <c r="Z166" i="2" s="1"/>
  <c r="X167" i="2"/>
  <c r="Z167" i="2" s="1"/>
  <c r="X168" i="2"/>
  <c r="Z168" i="2" s="1"/>
  <c r="X169" i="2"/>
  <c r="Z169" i="2" s="1"/>
  <c r="X170" i="2"/>
  <c r="Z170" i="2" s="1"/>
  <c r="X171" i="2"/>
  <c r="Z171" i="2" s="1"/>
  <c r="X172" i="2"/>
  <c r="Z172" i="2" s="1"/>
  <c r="X173" i="2"/>
  <c r="Z173" i="2" s="1"/>
  <c r="X174" i="2"/>
  <c r="Z174" i="2" s="1"/>
  <c r="X175" i="2"/>
  <c r="Z175" i="2" s="1"/>
  <c r="X176" i="2"/>
  <c r="Z176" i="2" s="1"/>
  <c r="X177" i="2"/>
  <c r="Z177" i="2" s="1"/>
  <c r="X178" i="2"/>
  <c r="Z178" i="2" s="1"/>
  <c r="X179" i="2"/>
  <c r="Z179" i="2" s="1"/>
  <c r="X180" i="2"/>
  <c r="Z180" i="2" s="1"/>
  <c r="X181" i="2"/>
  <c r="Z181" i="2" s="1"/>
  <c r="X182" i="2"/>
  <c r="Z182" i="2" s="1"/>
  <c r="X183" i="2"/>
  <c r="Z183" i="2" s="1"/>
  <c r="X184" i="2"/>
  <c r="Z184" i="2" s="1"/>
  <c r="X185" i="2"/>
  <c r="Z185" i="2" s="1"/>
  <c r="X186" i="2"/>
  <c r="Z186" i="2" s="1"/>
  <c r="X187" i="2"/>
  <c r="Z187" i="2" s="1"/>
  <c r="X188" i="2"/>
  <c r="Z188" i="2" s="1"/>
  <c r="X189" i="2"/>
  <c r="Z189" i="2" s="1"/>
  <c r="X190" i="2"/>
  <c r="Z190" i="2" s="1"/>
  <c r="X191" i="2"/>
  <c r="Z191" i="2" s="1"/>
  <c r="X192" i="2"/>
  <c r="Z192" i="2" s="1"/>
  <c r="X193" i="2"/>
  <c r="Z193" i="2" s="1"/>
  <c r="X194" i="2"/>
  <c r="Z194" i="2" s="1"/>
  <c r="X195" i="2"/>
  <c r="Z195" i="2" s="1"/>
  <c r="X196" i="2"/>
  <c r="Z196" i="2" s="1"/>
  <c r="F17" i="2"/>
  <c r="H17" i="2" s="1"/>
  <c r="I17" i="2" s="1"/>
  <c r="F19" i="2"/>
  <c r="H19" i="2" s="1"/>
  <c r="N19" i="2" s="1"/>
  <c r="F20" i="2"/>
  <c r="H20" i="2" s="1"/>
  <c r="N20" i="2" s="1"/>
  <c r="F21" i="2"/>
  <c r="H21" i="2" s="1"/>
  <c r="N21" i="2" s="1"/>
  <c r="F22" i="2"/>
  <c r="H22" i="2" s="1"/>
  <c r="N22" i="2" s="1"/>
  <c r="F23" i="2"/>
  <c r="H23" i="2" s="1"/>
  <c r="N23" i="2" s="1"/>
  <c r="F24" i="2"/>
  <c r="H24" i="2" s="1"/>
  <c r="N24" i="2" s="1"/>
  <c r="F25" i="2"/>
  <c r="H25" i="2" s="1"/>
  <c r="N25" i="2" s="1"/>
  <c r="F26" i="2"/>
  <c r="H26" i="2" s="1"/>
  <c r="N26" i="2" s="1"/>
  <c r="F27" i="2"/>
  <c r="H27" i="2" s="1"/>
  <c r="N27" i="2" s="1"/>
  <c r="F28" i="2"/>
  <c r="H28" i="2" s="1"/>
  <c r="N28" i="2" s="1"/>
  <c r="F29" i="2"/>
  <c r="H29" i="2" s="1"/>
  <c r="N29" i="2" s="1"/>
  <c r="F30" i="2"/>
  <c r="H30" i="2" s="1"/>
  <c r="N30" i="2" s="1"/>
  <c r="F31" i="2"/>
  <c r="H31" i="2" s="1"/>
  <c r="N31" i="2" s="1"/>
  <c r="F32" i="2"/>
  <c r="H32" i="2" s="1"/>
  <c r="N32" i="2" s="1"/>
  <c r="F33" i="2"/>
  <c r="H33" i="2" s="1"/>
  <c r="N33" i="2" s="1"/>
  <c r="F34" i="2"/>
  <c r="H34" i="2" s="1"/>
  <c r="N34" i="2" s="1"/>
  <c r="F35" i="2"/>
  <c r="H35" i="2" s="1"/>
  <c r="N35" i="2" s="1"/>
  <c r="F36" i="2"/>
  <c r="H36" i="2" s="1"/>
  <c r="N36" i="2" s="1"/>
  <c r="F37" i="2"/>
  <c r="H37" i="2" s="1"/>
  <c r="N37" i="2" s="1"/>
  <c r="F38" i="2"/>
  <c r="H38" i="2" s="1"/>
  <c r="N38" i="2" s="1"/>
  <c r="F39" i="2"/>
  <c r="H39" i="2" s="1"/>
  <c r="N39" i="2" s="1"/>
  <c r="F40" i="2"/>
  <c r="H40" i="2" s="1"/>
  <c r="N40" i="2" s="1"/>
  <c r="F41" i="2"/>
  <c r="H41" i="2" s="1"/>
  <c r="N41" i="2" s="1"/>
  <c r="F42" i="2"/>
  <c r="H42" i="2" s="1"/>
  <c r="N42" i="2" s="1"/>
  <c r="F43" i="2"/>
  <c r="H43" i="2" s="1"/>
  <c r="N43" i="2" s="1"/>
  <c r="F44" i="2"/>
  <c r="H44" i="2" s="1"/>
  <c r="N44" i="2" s="1"/>
  <c r="F45" i="2"/>
  <c r="H45" i="2" s="1"/>
  <c r="N45" i="2" s="1"/>
  <c r="F46" i="2"/>
  <c r="H46" i="2" s="1"/>
  <c r="N46" i="2" s="1"/>
  <c r="F47" i="2"/>
  <c r="H47" i="2" s="1"/>
  <c r="N47" i="2" s="1"/>
  <c r="F48" i="2"/>
  <c r="H48" i="2" s="1"/>
  <c r="N48" i="2" s="1"/>
  <c r="F49" i="2"/>
  <c r="H49" i="2" s="1"/>
  <c r="N49" i="2" s="1"/>
  <c r="F50" i="2"/>
  <c r="H50" i="2" s="1"/>
  <c r="N50" i="2" s="1"/>
  <c r="F51" i="2"/>
  <c r="H51" i="2" s="1"/>
  <c r="N51" i="2" s="1"/>
  <c r="F52" i="2"/>
  <c r="H52" i="2" s="1"/>
  <c r="N52" i="2" s="1"/>
  <c r="F53" i="2"/>
  <c r="H53" i="2" s="1"/>
  <c r="N53" i="2" s="1"/>
  <c r="F54" i="2"/>
  <c r="H54" i="2" s="1"/>
  <c r="N54" i="2" s="1"/>
  <c r="F55" i="2"/>
  <c r="H55" i="2" s="1"/>
  <c r="N55" i="2" s="1"/>
  <c r="F56" i="2"/>
  <c r="H56" i="2" s="1"/>
  <c r="N56" i="2" s="1"/>
  <c r="F57" i="2"/>
  <c r="H57" i="2" s="1"/>
  <c r="N57" i="2" s="1"/>
  <c r="F58" i="2"/>
  <c r="H58" i="2" s="1"/>
  <c r="N58" i="2" s="1"/>
  <c r="F59" i="2"/>
  <c r="H59" i="2" s="1"/>
  <c r="N59" i="2" s="1"/>
  <c r="F60" i="2"/>
  <c r="H60" i="2" s="1"/>
  <c r="N60" i="2" s="1"/>
  <c r="F61" i="2"/>
  <c r="H61" i="2" s="1"/>
  <c r="N61" i="2" s="1"/>
  <c r="F62" i="2"/>
  <c r="H62" i="2" s="1"/>
  <c r="N62" i="2" s="1"/>
  <c r="F63" i="2"/>
  <c r="H63" i="2" s="1"/>
  <c r="N63" i="2" s="1"/>
  <c r="F64" i="2"/>
  <c r="H64" i="2" s="1"/>
  <c r="N64" i="2" s="1"/>
  <c r="F65" i="2"/>
  <c r="H65" i="2" s="1"/>
  <c r="N65" i="2" s="1"/>
  <c r="F66" i="2"/>
  <c r="H66" i="2" s="1"/>
  <c r="N66" i="2" s="1"/>
  <c r="F67" i="2"/>
  <c r="H67" i="2" s="1"/>
  <c r="N67" i="2" s="1"/>
  <c r="F68" i="2"/>
  <c r="H68" i="2" s="1"/>
  <c r="N68" i="2" s="1"/>
  <c r="F69" i="2"/>
  <c r="H69" i="2" s="1"/>
  <c r="N69" i="2" s="1"/>
  <c r="F70" i="2"/>
  <c r="H70" i="2" s="1"/>
  <c r="N70" i="2" s="1"/>
  <c r="F71" i="2"/>
  <c r="H71" i="2" s="1"/>
  <c r="N71" i="2" s="1"/>
  <c r="F72" i="2"/>
  <c r="H72" i="2" s="1"/>
  <c r="N72" i="2" s="1"/>
  <c r="F73" i="2"/>
  <c r="H73" i="2" s="1"/>
  <c r="N73" i="2" s="1"/>
  <c r="F74" i="2"/>
  <c r="H74" i="2" s="1"/>
  <c r="N74" i="2" s="1"/>
  <c r="F75" i="2"/>
  <c r="H75" i="2" s="1"/>
  <c r="N75" i="2" s="1"/>
  <c r="F76" i="2"/>
  <c r="H76" i="2" s="1"/>
  <c r="N76" i="2" s="1"/>
  <c r="F77" i="2"/>
  <c r="H77" i="2" s="1"/>
  <c r="N77" i="2" s="1"/>
  <c r="F78" i="2"/>
  <c r="H78" i="2" s="1"/>
  <c r="N78" i="2" s="1"/>
  <c r="F79" i="2"/>
  <c r="H79" i="2" s="1"/>
  <c r="N79" i="2" s="1"/>
  <c r="F80" i="2"/>
  <c r="H80" i="2" s="1"/>
  <c r="N80" i="2" s="1"/>
  <c r="F81" i="2"/>
  <c r="H81" i="2" s="1"/>
  <c r="N81" i="2" s="1"/>
  <c r="F82" i="2"/>
  <c r="H82" i="2" s="1"/>
  <c r="N82" i="2" s="1"/>
  <c r="F83" i="2"/>
  <c r="H83" i="2" s="1"/>
  <c r="N83" i="2" s="1"/>
  <c r="F84" i="2"/>
  <c r="H84" i="2" s="1"/>
  <c r="N84" i="2" s="1"/>
  <c r="F85" i="2"/>
  <c r="H85" i="2" s="1"/>
  <c r="N85" i="2" s="1"/>
  <c r="F86" i="2"/>
  <c r="H86" i="2" s="1"/>
  <c r="N86" i="2" s="1"/>
  <c r="F87" i="2"/>
  <c r="H87" i="2" s="1"/>
  <c r="N87" i="2" s="1"/>
  <c r="F88" i="2"/>
  <c r="H88" i="2" s="1"/>
  <c r="N88" i="2" s="1"/>
  <c r="F89" i="2"/>
  <c r="H89" i="2" s="1"/>
  <c r="N89" i="2" s="1"/>
  <c r="F90" i="2"/>
  <c r="H90" i="2" s="1"/>
  <c r="N90" i="2" s="1"/>
  <c r="F91" i="2"/>
  <c r="H91" i="2" s="1"/>
  <c r="N91" i="2" s="1"/>
  <c r="F92" i="2"/>
  <c r="H92" i="2" s="1"/>
  <c r="N92" i="2" s="1"/>
  <c r="F93" i="2"/>
  <c r="H93" i="2" s="1"/>
  <c r="N93" i="2" s="1"/>
  <c r="F94" i="2"/>
  <c r="H94" i="2" s="1"/>
  <c r="N94" i="2" s="1"/>
  <c r="F95" i="2"/>
  <c r="H95" i="2" s="1"/>
  <c r="N95" i="2" s="1"/>
  <c r="F96" i="2"/>
  <c r="H96" i="2" s="1"/>
  <c r="N96" i="2" s="1"/>
  <c r="F97" i="2"/>
  <c r="H97" i="2" s="1"/>
  <c r="N97" i="2" s="1"/>
  <c r="F98" i="2"/>
  <c r="H98" i="2" s="1"/>
  <c r="N98" i="2" s="1"/>
  <c r="F99" i="2"/>
  <c r="H99" i="2" s="1"/>
  <c r="N99" i="2" s="1"/>
  <c r="F100" i="2"/>
  <c r="H100" i="2" s="1"/>
  <c r="N100" i="2" s="1"/>
  <c r="F101" i="2"/>
  <c r="H101" i="2" s="1"/>
  <c r="N101" i="2" s="1"/>
  <c r="F102" i="2"/>
  <c r="H102" i="2" s="1"/>
  <c r="N102" i="2" s="1"/>
  <c r="F103" i="2"/>
  <c r="H103" i="2" s="1"/>
  <c r="N103" i="2" s="1"/>
  <c r="F104" i="2"/>
  <c r="H104" i="2" s="1"/>
  <c r="N104" i="2" s="1"/>
  <c r="F105" i="2"/>
  <c r="H105" i="2" s="1"/>
  <c r="N105" i="2" s="1"/>
  <c r="F106" i="2"/>
  <c r="H106" i="2" s="1"/>
  <c r="N106" i="2" s="1"/>
  <c r="F107" i="2"/>
  <c r="H107" i="2" s="1"/>
  <c r="N107" i="2" s="1"/>
  <c r="F108" i="2"/>
  <c r="H108" i="2" s="1"/>
  <c r="N108" i="2" s="1"/>
  <c r="F109" i="2"/>
  <c r="H109" i="2" s="1"/>
  <c r="N109" i="2" s="1"/>
  <c r="F110" i="2"/>
  <c r="H110" i="2" s="1"/>
  <c r="N110" i="2" s="1"/>
  <c r="F111" i="2"/>
  <c r="H111" i="2" s="1"/>
  <c r="N111" i="2" s="1"/>
  <c r="F112" i="2"/>
  <c r="H112" i="2" s="1"/>
  <c r="N112" i="2" s="1"/>
  <c r="F113" i="2"/>
  <c r="H113" i="2" s="1"/>
  <c r="N113" i="2" s="1"/>
  <c r="F114" i="2"/>
  <c r="H114" i="2" s="1"/>
  <c r="N114" i="2" s="1"/>
  <c r="F115" i="2"/>
  <c r="H115" i="2" s="1"/>
  <c r="N115" i="2" s="1"/>
  <c r="F116" i="2"/>
  <c r="H116" i="2" s="1"/>
  <c r="N116" i="2" s="1"/>
  <c r="F117" i="2"/>
  <c r="H117" i="2" s="1"/>
  <c r="N117" i="2" s="1"/>
  <c r="F118" i="2"/>
  <c r="H118" i="2" s="1"/>
  <c r="N118" i="2" s="1"/>
  <c r="F119" i="2"/>
  <c r="H119" i="2" s="1"/>
  <c r="N119" i="2" s="1"/>
  <c r="F120" i="2"/>
  <c r="H120" i="2" s="1"/>
  <c r="N120" i="2" s="1"/>
  <c r="F121" i="2"/>
  <c r="H121" i="2" s="1"/>
  <c r="N121" i="2" s="1"/>
  <c r="F122" i="2"/>
  <c r="H122" i="2" s="1"/>
  <c r="N122" i="2" s="1"/>
  <c r="F123" i="2"/>
  <c r="H123" i="2" s="1"/>
  <c r="N123" i="2" s="1"/>
  <c r="F124" i="2"/>
  <c r="H124" i="2" s="1"/>
  <c r="N124" i="2" s="1"/>
  <c r="F125" i="2"/>
  <c r="H125" i="2" s="1"/>
  <c r="N125" i="2" s="1"/>
  <c r="F126" i="2"/>
  <c r="H126" i="2" s="1"/>
  <c r="N126" i="2" s="1"/>
  <c r="F127" i="2"/>
  <c r="H127" i="2" s="1"/>
  <c r="N127" i="2" s="1"/>
  <c r="F128" i="2"/>
  <c r="H128" i="2" s="1"/>
  <c r="N128" i="2" s="1"/>
  <c r="F129" i="2"/>
  <c r="H129" i="2" s="1"/>
  <c r="N129" i="2" s="1"/>
  <c r="F130" i="2"/>
  <c r="H130" i="2" s="1"/>
  <c r="N130" i="2" s="1"/>
  <c r="F131" i="2"/>
  <c r="H131" i="2" s="1"/>
  <c r="N131" i="2" s="1"/>
  <c r="F132" i="2"/>
  <c r="H132" i="2" s="1"/>
  <c r="N132" i="2" s="1"/>
  <c r="F133" i="2"/>
  <c r="H133" i="2" s="1"/>
  <c r="N133" i="2" s="1"/>
  <c r="F134" i="2"/>
  <c r="H134" i="2" s="1"/>
  <c r="N134" i="2" s="1"/>
  <c r="F135" i="2"/>
  <c r="H135" i="2" s="1"/>
  <c r="N135" i="2" s="1"/>
  <c r="F136" i="2"/>
  <c r="H136" i="2" s="1"/>
  <c r="N136" i="2" s="1"/>
  <c r="F137" i="2"/>
  <c r="H137" i="2" s="1"/>
  <c r="N137" i="2" s="1"/>
  <c r="F138" i="2"/>
  <c r="H138" i="2" s="1"/>
  <c r="N138" i="2" s="1"/>
  <c r="F139" i="2"/>
  <c r="H139" i="2" s="1"/>
  <c r="N139" i="2" s="1"/>
  <c r="F140" i="2"/>
  <c r="H140" i="2" s="1"/>
  <c r="N140" i="2" s="1"/>
  <c r="F141" i="2"/>
  <c r="H141" i="2" s="1"/>
  <c r="N141" i="2" s="1"/>
  <c r="F142" i="2"/>
  <c r="H142" i="2" s="1"/>
  <c r="N142" i="2" s="1"/>
  <c r="F143" i="2"/>
  <c r="H143" i="2" s="1"/>
  <c r="N143" i="2" s="1"/>
  <c r="F144" i="2"/>
  <c r="H144" i="2" s="1"/>
  <c r="N144" i="2" s="1"/>
  <c r="F145" i="2"/>
  <c r="H145" i="2" s="1"/>
  <c r="N145" i="2" s="1"/>
  <c r="F146" i="2"/>
  <c r="H146" i="2" s="1"/>
  <c r="N146" i="2" s="1"/>
  <c r="F147" i="2"/>
  <c r="H147" i="2" s="1"/>
  <c r="N147" i="2" s="1"/>
  <c r="F148" i="2"/>
  <c r="H148" i="2" s="1"/>
  <c r="N148" i="2" s="1"/>
  <c r="F149" i="2"/>
  <c r="H149" i="2" s="1"/>
  <c r="N149" i="2" s="1"/>
  <c r="F150" i="2"/>
  <c r="H150" i="2" s="1"/>
  <c r="N150" i="2" s="1"/>
  <c r="F151" i="2"/>
  <c r="H151" i="2" s="1"/>
  <c r="N151" i="2" s="1"/>
  <c r="F152" i="2"/>
  <c r="H152" i="2" s="1"/>
  <c r="N152" i="2" s="1"/>
  <c r="F153" i="2"/>
  <c r="H153" i="2" s="1"/>
  <c r="N153" i="2" s="1"/>
  <c r="F154" i="2"/>
  <c r="H154" i="2" s="1"/>
  <c r="N154" i="2" s="1"/>
  <c r="F155" i="2"/>
  <c r="H155" i="2" s="1"/>
  <c r="N155" i="2" s="1"/>
  <c r="F156" i="2"/>
  <c r="H156" i="2" s="1"/>
  <c r="N156" i="2" s="1"/>
  <c r="F157" i="2"/>
  <c r="H157" i="2" s="1"/>
  <c r="N157" i="2" s="1"/>
  <c r="F158" i="2"/>
  <c r="H158" i="2" s="1"/>
  <c r="N158" i="2" s="1"/>
  <c r="F159" i="2"/>
  <c r="H159" i="2" s="1"/>
  <c r="N159" i="2" s="1"/>
  <c r="F160" i="2"/>
  <c r="H160" i="2" s="1"/>
  <c r="N160" i="2" s="1"/>
  <c r="F161" i="2"/>
  <c r="H161" i="2" s="1"/>
  <c r="N161" i="2" s="1"/>
  <c r="F162" i="2"/>
  <c r="H162" i="2" s="1"/>
  <c r="N162" i="2" s="1"/>
  <c r="F163" i="2"/>
  <c r="H163" i="2" s="1"/>
  <c r="N163" i="2" s="1"/>
  <c r="F164" i="2"/>
  <c r="H164" i="2" s="1"/>
  <c r="N164" i="2" s="1"/>
  <c r="F165" i="2"/>
  <c r="H165" i="2" s="1"/>
  <c r="N165" i="2" s="1"/>
  <c r="F166" i="2"/>
  <c r="H166" i="2" s="1"/>
  <c r="N166" i="2" s="1"/>
  <c r="F167" i="2"/>
  <c r="H167" i="2" s="1"/>
  <c r="N167" i="2" s="1"/>
  <c r="F168" i="2"/>
  <c r="H168" i="2" s="1"/>
  <c r="N168" i="2" s="1"/>
  <c r="F169" i="2"/>
  <c r="H169" i="2" s="1"/>
  <c r="N169" i="2" s="1"/>
  <c r="F170" i="2"/>
  <c r="H170" i="2" s="1"/>
  <c r="N170" i="2" s="1"/>
  <c r="F171" i="2"/>
  <c r="H171" i="2" s="1"/>
  <c r="N171" i="2" s="1"/>
  <c r="F172" i="2"/>
  <c r="H172" i="2" s="1"/>
  <c r="N172" i="2" s="1"/>
  <c r="F173" i="2"/>
  <c r="H173" i="2" s="1"/>
  <c r="N173" i="2" s="1"/>
  <c r="F174" i="2"/>
  <c r="H174" i="2" s="1"/>
  <c r="N174" i="2" s="1"/>
  <c r="F175" i="2"/>
  <c r="H175" i="2" s="1"/>
  <c r="N175" i="2" s="1"/>
  <c r="F176" i="2"/>
  <c r="H176" i="2" s="1"/>
  <c r="N176" i="2" s="1"/>
  <c r="F177" i="2"/>
  <c r="H177" i="2" s="1"/>
  <c r="N177" i="2" s="1"/>
  <c r="F178" i="2"/>
  <c r="H178" i="2" s="1"/>
  <c r="N178" i="2" s="1"/>
  <c r="F179" i="2"/>
  <c r="H179" i="2" s="1"/>
  <c r="N179" i="2" s="1"/>
  <c r="F180" i="2"/>
  <c r="H180" i="2" s="1"/>
  <c r="N180" i="2" s="1"/>
  <c r="F181" i="2"/>
  <c r="H181" i="2" s="1"/>
  <c r="N181" i="2" s="1"/>
  <c r="F182" i="2"/>
  <c r="H182" i="2" s="1"/>
  <c r="N182" i="2" s="1"/>
  <c r="F183" i="2"/>
  <c r="H183" i="2" s="1"/>
  <c r="N183" i="2" s="1"/>
  <c r="F184" i="2"/>
  <c r="H184" i="2" s="1"/>
  <c r="N184" i="2" s="1"/>
  <c r="F185" i="2"/>
  <c r="H185" i="2" s="1"/>
  <c r="N185" i="2" s="1"/>
  <c r="F186" i="2"/>
  <c r="H186" i="2" s="1"/>
  <c r="N186" i="2" s="1"/>
  <c r="F187" i="2"/>
  <c r="H187" i="2" s="1"/>
  <c r="N187" i="2" s="1"/>
  <c r="F188" i="2"/>
  <c r="H188" i="2" s="1"/>
  <c r="N188" i="2" s="1"/>
  <c r="F189" i="2"/>
  <c r="H189" i="2" s="1"/>
  <c r="N189" i="2" s="1"/>
  <c r="F190" i="2"/>
  <c r="H190" i="2" s="1"/>
  <c r="N190" i="2" s="1"/>
  <c r="F191" i="2"/>
  <c r="H191" i="2" s="1"/>
  <c r="N191" i="2" s="1"/>
  <c r="F192" i="2"/>
  <c r="H192" i="2" s="1"/>
  <c r="N192" i="2" s="1"/>
  <c r="F193" i="2"/>
  <c r="H193" i="2" s="1"/>
  <c r="N193" i="2" s="1"/>
  <c r="F194" i="2"/>
  <c r="H194" i="2" s="1"/>
  <c r="N194" i="2" s="1"/>
  <c r="F195" i="2"/>
  <c r="H195" i="2" s="1"/>
  <c r="N195" i="2" s="1"/>
  <c r="F196" i="2"/>
  <c r="H196" i="2" s="1"/>
  <c r="N196" i="2" s="1"/>
  <c r="U154" i="4" l="1"/>
  <c r="AA197" i="4"/>
  <c r="U181" i="4"/>
  <c r="U197" i="4"/>
  <c r="U155" i="4"/>
  <c r="U148" i="4"/>
  <c r="G197" i="4"/>
  <c r="Y197" i="4"/>
  <c r="U179" i="4"/>
  <c r="U191" i="4"/>
  <c r="U146" i="4"/>
  <c r="U185" i="4"/>
  <c r="U189" i="4"/>
  <c r="G24" i="4"/>
  <c r="J25" i="4" s="1"/>
  <c r="G21" i="4"/>
  <c r="J22" i="4" s="1"/>
  <c r="G55" i="4"/>
  <c r="J56" i="4" s="1"/>
  <c r="G28" i="4"/>
  <c r="J29" i="4" s="1"/>
  <c r="G36" i="4"/>
  <c r="J37" i="4" s="1"/>
  <c r="G32" i="4"/>
  <c r="J33" i="4" s="1"/>
  <c r="AB83" i="4"/>
  <c r="AH83" i="4" s="1"/>
  <c r="AL24" i="4"/>
  <c r="AK19" i="4"/>
  <c r="Y97" i="4"/>
  <c r="AB98" i="4" s="1"/>
  <c r="AH98" i="4" s="1"/>
  <c r="Y87" i="4"/>
  <c r="AB88" i="4" s="1"/>
  <c r="AH88" i="4" s="1"/>
  <c r="Y124" i="4"/>
  <c r="AB125" i="4" s="1"/>
  <c r="AH125" i="4" s="1"/>
  <c r="Y120" i="4"/>
  <c r="AB121" i="4" s="1"/>
  <c r="AH121" i="4" s="1"/>
  <c r="AK23" i="4"/>
  <c r="S82" i="4"/>
  <c r="AL23" i="4"/>
  <c r="G62" i="4"/>
  <c r="J63" i="4" s="1"/>
  <c r="G116" i="4"/>
  <c r="J117" i="4" s="1"/>
  <c r="G53" i="4"/>
  <c r="J54" i="4" s="1"/>
  <c r="S62" i="4"/>
  <c r="S81" i="4"/>
  <c r="G106" i="4"/>
  <c r="J107" i="4" s="1"/>
  <c r="S69" i="4"/>
  <c r="S86" i="4"/>
  <c r="G18" i="4"/>
  <c r="J19" i="4" s="1"/>
  <c r="G119" i="4"/>
  <c r="J120" i="4" s="1"/>
  <c r="G140" i="4"/>
  <c r="J141" i="4" s="1"/>
  <c r="G37" i="4"/>
  <c r="J38" i="4" s="1"/>
  <c r="G22" i="4"/>
  <c r="J23" i="4" s="1"/>
  <c r="G31" i="4"/>
  <c r="J32" i="4" s="1"/>
  <c r="G35" i="4"/>
  <c r="J36" i="4" s="1"/>
  <c r="S40" i="4"/>
  <c r="G44" i="4"/>
  <c r="J45" i="4" s="1"/>
  <c r="S99" i="4"/>
  <c r="G19" i="4"/>
  <c r="J20" i="4" s="1"/>
  <c r="G23" i="4"/>
  <c r="J24" i="4" s="1"/>
  <c r="Y196" i="4"/>
  <c r="AB197" i="4" s="1"/>
  <c r="Y188" i="4"/>
  <c r="AB189" i="4" s="1"/>
  <c r="AH189" i="4" s="1"/>
  <c r="Y180" i="4"/>
  <c r="AB181" i="4" s="1"/>
  <c r="AH181" i="4" s="1"/>
  <c r="Y191" i="4"/>
  <c r="Y183" i="4"/>
  <c r="AB184" i="4" s="1"/>
  <c r="AH184" i="4" s="1"/>
  <c r="Y194" i="4"/>
  <c r="AB195" i="4" s="1"/>
  <c r="AH195" i="4" s="1"/>
  <c r="Y186" i="4"/>
  <c r="AB187" i="4" s="1"/>
  <c r="AH187" i="4" s="1"/>
  <c r="Y193" i="4"/>
  <c r="Y185" i="4"/>
  <c r="AB186" i="4" s="1"/>
  <c r="AH186" i="4" s="1"/>
  <c r="Y184" i="4"/>
  <c r="AB185" i="4" s="1"/>
  <c r="AH185" i="4" s="1"/>
  <c r="Y181" i="4"/>
  <c r="AB182" i="4" s="1"/>
  <c r="AH182" i="4" s="1"/>
  <c r="Y177" i="4"/>
  <c r="AB178" i="4" s="1"/>
  <c r="AH178" i="4" s="1"/>
  <c r="Y168" i="4"/>
  <c r="AB169" i="4" s="1"/>
  <c r="AH169" i="4" s="1"/>
  <c r="Y190" i="4"/>
  <c r="AB191" i="4" s="1"/>
  <c r="AH191" i="4" s="1"/>
  <c r="Y189" i="4"/>
  <c r="AB190" i="4" s="1"/>
  <c r="AH190" i="4" s="1"/>
  <c r="Y178" i="4"/>
  <c r="AB179" i="4" s="1"/>
  <c r="AH179" i="4" s="1"/>
  <c r="Y187" i="4"/>
  <c r="AB188" i="4" s="1"/>
  <c r="AH188" i="4" s="1"/>
  <c r="Y170" i="4"/>
  <c r="AB171" i="4" s="1"/>
  <c r="AH171" i="4" s="1"/>
  <c r="Y167" i="4"/>
  <c r="Y164" i="4"/>
  <c r="AB165" i="4" s="1"/>
  <c r="AH165" i="4" s="1"/>
  <c r="Y156" i="4"/>
  <c r="AB157" i="4" s="1"/>
  <c r="AH157" i="4" s="1"/>
  <c r="Y195" i="4"/>
  <c r="AB196" i="4" s="1"/>
  <c r="AH196" i="4" s="1"/>
  <c r="Y182" i="4"/>
  <c r="AB183" i="4" s="1"/>
  <c r="AH183" i="4" s="1"/>
  <c r="Y159" i="4"/>
  <c r="AB160" i="4" s="1"/>
  <c r="AH160" i="4" s="1"/>
  <c r="Y192" i="4"/>
  <c r="AB193" i="4" s="1"/>
  <c r="AH193" i="4" s="1"/>
  <c r="Y179" i="4"/>
  <c r="AB180" i="4" s="1"/>
  <c r="AH180" i="4" s="1"/>
  <c r="Y175" i="4"/>
  <c r="AB176" i="4" s="1"/>
  <c r="AH176" i="4" s="1"/>
  <c r="Y166" i="4"/>
  <c r="AB167" i="4" s="1"/>
  <c r="AH167" i="4" s="1"/>
  <c r="Y162" i="4"/>
  <c r="AB163" i="4" s="1"/>
  <c r="AH163" i="4" s="1"/>
  <c r="Y176" i="4"/>
  <c r="AB177" i="4" s="1"/>
  <c r="AH177" i="4" s="1"/>
  <c r="Y173" i="4"/>
  <c r="AB174" i="4" s="1"/>
  <c r="AH174" i="4" s="1"/>
  <c r="Y161" i="4"/>
  <c r="AB162" i="4" s="1"/>
  <c r="AH162" i="4" s="1"/>
  <c r="Y174" i="4"/>
  <c r="AB175" i="4" s="1"/>
  <c r="AH175" i="4" s="1"/>
  <c r="Y158" i="4"/>
  <c r="AB159" i="4" s="1"/>
  <c r="AH159" i="4" s="1"/>
  <c r="Y155" i="4"/>
  <c r="Y147" i="4"/>
  <c r="AB148" i="4" s="1"/>
  <c r="AH148" i="4" s="1"/>
  <c r="Y169" i="4"/>
  <c r="AB170" i="4" s="1"/>
  <c r="AH170" i="4" s="1"/>
  <c r="Y150" i="4"/>
  <c r="AB151" i="4" s="1"/>
  <c r="AH151" i="4" s="1"/>
  <c r="Y163" i="4"/>
  <c r="AB164" i="4" s="1"/>
  <c r="AH164" i="4" s="1"/>
  <c r="Y160" i="4"/>
  <c r="AB161" i="4" s="1"/>
  <c r="AH161" i="4" s="1"/>
  <c r="Y153" i="4"/>
  <c r="AB154" i="4" s="1"/>
  <c r="AH154" i="4" s="1"/>
  <c r="Y148" i="4"/>
  <c r="AB149" i="4" s="1"/>
  <c r="AH149" i="4" s="1"/>
  <c r="Y142" i="4"/>
  <c r="AB143" i="4" s="1"/>
  <c r="AH143" i="4" s="1"/>
  <c r="Y138" i="4"/>
  <c r="AB139" i="4" s="1"/>
  <c r="AH139" i="4" s="1"/>
  <c r="Y134" i="4"/>
  <c r="AB135" i="4" s="1"/>
  <c r="AH135" i="4" s="1"/>
  <c r="Y130" i="4"/>
  <c r="AB131" i="4" s="1"/>
  <c r="AH131" i="4" s="1"/>
  <c r="Y157" i="4"/>
  <c r="AB158" i="4" s="1"/>
  <c r="AH158" i="4" s="1"/>
  <c r="Y151" i="4"/>
  <c r="AB152" i="4" s="1"/>
  <c r="AH152" i="4" s="1"/>
  <c r="Y165" i="4"/>
  <c r="AB166" i="4" s="1"/>
  <c r="AH166" i="4" s="1"/>
  <c r="Y172" i="4"/>
  <c r="AB173" i="4" s="1"/>
  <c r="AH173" i="4" s="1"/>
  <c r="Y171" i="4"/>
  <c r="AB172" i="4" s="1"/>
  <c r="AH172" i="4" s="1"/>
  <c r="Y141" i="4"/>
  <c r="AB142" i="4" s="1"/>
  <c r="AH142" i="4" s="1"/>
  <c r="Y137" i="4"/>
  <c r="AB138" i="4" s="1"/>
  <c r="AH138" i="4" s="1"/>
  <c r="Y133" i="4"/>
  <c r="AB134" i="4" s="1"/>
  <c r="AH134" i="4" s="1"/>
  <c r="Y129" i="4"/>
  <c r="AB130" i="4" s="1"/>
  <c r="AH130" i="4" s="1"/>
  <c r="Y144" i="4"/>
  <c r="AB145" i="4" s="1"/>
  <c r="AH145" i="4" s="1"/>
  <c r="Y135" i="4"/>
  <c r="AB136" i="4" s="1"/>
  <c r="AH136" i="4" s="1"/>
  <c r="Y123" i="4"/>
  <c r="AB124" i="4" s="1"/>
  <c r="AH124" i="4" s="1"/>
  <c r="Y121" i="4"/>
  <c r="AB122" i="4" s="1"/>
  <c r="AH122" i="4" s="1"/>
  <c r="Y154" i="4"/>
  <c r="AB155" i="4" s="1"/>
  <c r="AH155" i="4" s="1"/>
  <c r="Y140" i="4"/>
  <c r="AB141" i="4" s="1"/>
  <c r="AH141" i="4" s="1"/>
  <c r="Y131" i="4"/>
  <c r="AB132" i="4" s="1"/>
  <c r="AH132" i="4" s="1"/>
  <c r="Y114" i="4"/>
  <c r="AB115" i="4" s="1"/>
  <c r="AH115" i="4" s="1"/>
  <c r="Y110" i="4"/>
  <c r="AB111" i="4" s="1"/>
  <c r="AH111" i="4" s="1"/>
  <c r="Y106" i="4"/>
  <c r="AB107" i="4" s="1"/>
  <c r="AH107" i="4" s="1"/>
  <c r="Y102" i="4"/>
  <c r="AB103" i="4" s="1"/>
  <c r="AH103" i="4" s="1"/>
  <c r="Y98" i="4"/>
  <c r="AB99" i="4" s="1"/>
  <c r="AH99" i="4" s="1"/>
  <c r="Y149" i="4"/>
  <c r="AB150" i="4" s="1"/>
  <c r="AH150" i="4" s="1"/>
  <c r="Y136" i="4"/>
  <c r="AB137" i="4" s="1"/>
  <c r="AH137" i="4" s="1"/>
  <c r="Y127" i="4"/>
  <c r="AB128" i="4" s="1"/>
  <c r="AH128" i="4" s="1"/>
  <c r="Y139" i="4"/>
  <c r="AB140" i="4" s="1"/>
  <c r="AH140" i="4" s="1"/>
  <c r="Y126" i="4"/>
  <c r="AB127" i="4" s="1"/>
  <c r="AH127" i="4" s="1"/>
  <c r="Y117" i="4"/>
  <c r="AB118" i="4" s="1"/>
  <c r="AH118" i="4" s="1"/>
  <c r="Y113" i="4"/>
  <c r="AB114" i="4" s="1"/>
  <c r="AH114" i="4" s="1"/>
  <c r="Y109" i="4"/>
  <c r="AB110" i="4" s="1"/>
  <c r="AH110" i="4" s="1"/>
  <c r="Y105" i="4"/>
  <c r="AB106" i="4" s="1"/>
  <c r="AH106" i="4" s="1"/>
  <c r="Y118" i="4"/>
  <c r="Y152" i="4"/>
  <c r="AB153" i="4" s="1"/>
  <c r="AH153" i="4" s="1"/>
  <c r="Y146" i="4"/>
  <c r="Y143" i="4"/>
  <c r="AB144" i="4" s="1"/>
  <c r="AH144" i="4" s="1"/>
  <c r="Y132" i="4"/>
  <c r="AB133" i="4" s="1"/>
  <c r="AH133" i="4" s="1"/>
  <c r="Y122" i="4"/>
  <c r="AB123" i="4" s="1"/>
  <c r="AH123" i="4" s="1"/>
  <c r="Y103" i="4"/>
  <c r="AB104" i="4" s="1"/>
  <c r="AH104" i="4" s="1"/>
  <c r="Y99" i="4"/>
  <c r="AB100" i="4" s="1"/>
  <c r="AH100" i="4" s="1"/>
  <c r="Y93" i="4"/>
  <c r="AB94" i="4" s="1"/>
  <c r="AH94" i="4" s="1"/>
  <c r="Y89" i="4"/>
  <c r="AB90" i="4" s="1"/>
  <c r="AH90" i="4" s="1"/>
  <c r="Y85" i="4"/>
  <c r="AB86" i="4" s="1"/>
  <c r="AH86" i="4" s="1"/>
  <c r="Y115" i="4"/>
  <c r="AB116" i="4" s="1"/>
  <c r="AH116" i="4" s="1"/>
  <c r="Y112" i="4"/>
  <c r="AB113" i="4" s="1"/>
  <c r="AH113" i="4" s="1"/>
  <c r="Y100" i="4"/>
  <c r="AB101" i="4" s="1"/>
  <c r="AH101" i="4" s="1"/>
  <c r="Y84" i="4"/>
  <c r="AB85" i="4" s="1"/>
  <c r="AH85" i="4" s="1"/>
  <c r="Y145" i="4"/>
  <c r="AB146" i="4" s="1"/>
  <c r="AH146" i="4" s="1"/>
  <c r="Y119" i="4"/>
  <c r="AB120" i="4" s="1"/>
  <c r="AH120" i="4" s="1"/>
  <c r="Y101" i="4"/>
  <c r="AB102" i="4" s="1"/>
  <c r="AH102" i="4" s="1"/>
  <c r="Y88" i="4"/>
  <c r="AB89" i="4" s="1"/>
  <c r="AH89" i="4" s="1"/>
  <c r="Y116" i="4"/>
  <c r="AB117" i="4" s="1"/>
  <c r="AH117" i="4" s="1"/>
  <c r="Y108" i="4"/>
  <c r="AB109" i="4" s="1"/>
  <c r="AH109" i="4" s="1"/>
  <c r="Y92" i="4"/>
  <c r="AB93" i="4" s="1"/>
  <c r="AH93" i="4" s="1"/>
  <c r="Y125" i="4"/>
  <c r="Y111" i="4"/>
  <c r="AB112" i="4" s="1"/>
  <c r="AH112" i="4" s="1"/>
  <c r="Y104" i="4"/>
  <c r="Y94" i="4"/>
  <c r="AB95" i="4" s="1"/>
  <c r="AH95" i="4" s="1"/>
  <c r="Y96" i="4"/>
  <c r="AB97" i="4" s="1"/>
  <c r="AH97" i="4" s="1"/>
  <c r="Y107" i="4"/>
  <c r="AB108" i="4" s="1"/>
  <c r="AH108" i="4" s="1"/>
  <c r="Y95" i="4"/>
  <c r="AB96" i="4" s="1"/>
  <c r="AH96" i="4" s="1"/>
  <c r="Y91" i="4"/>
  <c r="AB92" i="4" s="1"/>
  <c r="AH92" i="4" s="1"/>
  <c r="Y90" i="4"/>
  <c r="AB91" i="4" s="1"/>
  <c r="AH91" i="4" s="1"/>
  <c r="Y83" i="4"/>
  <c r="AB84" i="4" s="1"/>
  <c r="AH84" i="4" s="1"/>
  <c r="G26" i="4"/>
  <c r="J27" i="4" s="1"/>
  <c r="G30" i="4"/>
  <c r="J31" i="4" s="1"/>
  <c r="G34" i="4"/>
  <c r="J35" i="4" s="1"/>
  <c r="G41" i="4"/>
  <c r="J42" i="4" s="1"/>
  <c r="S47" i="4"/>
  <c r="S48" i="4"/>
  <c r="S79" i="4"/>
  <c r="S121" i="4"/>
  <c r="G56" i="4"/>
  <c r="J57" i="4" s="1"/>
  <c r="G59" i="4"/>
  <c r="J60" i="4" s="1"/>
  <c r="H17" i="4"/>
  <c r="S76" i="4"/>
  <c r="G45" i="4"/>
  <c r="J46" i="4" s="1"/>
  <c r="G52" i="4"/>
  <c r="J53" i="4" s="1"/>
  <c r="S74" i="4"/>
  <c r="G196" i="4"/>
  <c r="J197" i="4" s="1"/>
  <c r="G188" i="4"/>
  <c r="J189" i="4" s="1"/>
  <c r="G180" i="4"/>
  <c r="J181" i="4" s="1"/>
  <c r="G191" i="4"/>
  <c r="J192" i="4" s="1"/>
  <c r="G183" i="4"/>
  <c r="J184" i="4" s="1"/>
  <c r="G194" i="4"/>
  <c r="J195" i="4" s="1"/>
  <c r="G186" i="4"/>
  <c r="J187" i="4" s="1"/>
  <c r="G193" i="4"/>
  <c r="J194" i="4" s="1"/>
  <c r="G185" i="4"/>
  <c r="J186" i="4" s="1"/>
  <c r="G182" i="4"/>
  <c r="J183" i="4" s="1"/>
  <c r="G177" i="4"/>
  <c r="J178" i="4" s="1"/>
  <c r="G168" i="4"/>
  <c r="J169" i="4" s="1"/>
  <c r="G187" i="4"/>
  <c r="J188" i="4" s="1"/>
  <c r="G184" i="4"/>
  <c r="J185" i="4" s="1"/>
  <c r="G179" i="4"/>
  <c r="J180" i="4" s="1"/>
  <c r="G189" i="4"/>
  <c r="J190" i="4" s="1"/>
  <c r="G195" i="4"/>
  <c r="J196" i="4" s="1"/>
  <c r="G192" i="4"/>
  <c r="J193" i="4" s="1"/>
  <c r="G170" i="4"/>
  <c r="J171" i="4" s="1"/>
  <c r="G176" i="4"/>
  <c r="J177" i="4" s="1"/>
  <c r="G174" i="4"/>
  <c r="J175" i="4" s="1"/>
  <c r="G171" i="4"/>
  <c r="J172" i="4" s="1"/>
  <c r="G166" i="4"/>
  <c r="J167" i="4" s="1"/>
  <c r="G164" i="4"/>
  <c r="J165" i="4" s="1"/>
  <c r="G169" i="4"/>
  <c r="J170" i="4" s="1"/>
  <c r="G159" i="4"/>
  <c r="J160" i="4" s="1"/>
  <c r="G162" i="4"/>
  <c r="J163" i="4" s="1"/>
  <c r="G190" i="4"/>
  <c r="J191" i="4" s="1"/>
  <c r="G167" i="4"/>
  <c r="J168" i="4" s="1"/>
  <c r="G161" i="4"/>
  <c r="J162" i="4" s="1"/>
  <c r="G175" i="4"/>
  <c r="J176" i="4" s="1"/>
  <c r="G163" i="4"/>
  <c r="J164" i="4" s="1"/>
  <c r="G160" i="4"/>
  <c r="J161" i="4" s="1"/>
  <c r="G156" i="4"/>
  <c r="J157" i="4" s="1"/>
  <c r="G181" i="4"/>
  <c r="J182" i="4" s="1"/>
  <c r="G165" i="4"/>
  <c r="J166" i="4" s="1"/>
  <c r="G158" i="4"/>
  <c r="J159" i="4" s="1"/>
  <c r="G155" i="4"/>
  <c r="J156" i="4" s="1"/>
  <c r="G147" i="4"/>
  <c r="J148" i="4" s="1"/>
  <c r="G150" i="4"/>
  <c r="J151" i="4" s="1"/>
  <c r="G153" i="4"/>
  <c r="J154" i="4" s="1"/>
  <c r="G178" i="4"/>
  <c r="J179" i="4" s="1"/>
  <c r="G157" i="4"/>
  <c r="J158" i="4" s="1"/>
  <c r="G149" i="4"/>
  <c r="J150" i="4" s="1"/>
  <c r="G141" i="4"/>
  <c r="J142" i="4" s="1"/>
  <c r="G137" i="4"/>
  <c r="J138" i="4" s="1"/>
  <c r="G133" i="4"/>
  <c r="J134" i="4" s="1"/>
  <c r="G129" i="4"/>
  <c r="J130" i="4" s="1"/>
  <c r="G125" i="4"/>
  <c r="J126" i="4" s="1"/>
  <c r="G121" i="4"/>
  <c r="J122" i="4" s="1"/>
  <c r="G173" i="4"/>
  <c r="J174" i="4" s="1"/>
  <c r="G146" i="4"/>
  <c r="J147" i="4" s="1"/>
  <c r="G145" i="4"/>
  <c r="J146" i="4" s="1"/>
  <c r="G142" i="4"/>
  <c r="J143" i="4" s="1"/>
  <c r="G138" i="4"/>
  <c r="J139" i="4" s="1"/>
  <c r="G134" i="4"/>
  <c r="J135" i="4" s="1"/>
  <c r="G130" i="4"/>
  <c r="J131" i="4" s="1"/>
  <c r="G126" i="4"/>
  <c r="J127" i="4" s="1"/>
  <c r="G172" i="4"/>
  <c r="J173" i="4" s="1"/>
  <c r="G143" i="4"/>
  <c r="J144" i="4" s="1"/>
  <c r="G117" i="4"/>
  <c r="J118" i="4" s="1"/>
  <c r="G113" i="4"/>
  <c r="J114" i="4" s="1"/>
  <c r="G109" i="4"/>
  <c r="J110" i="4" s="1"/>
  <c r="G105" i="4"/>
  <c r="J106" i="4" s="1"/>
  <c r="G101" i="4"/>
  <c r="J102" i="4" s="1"/>
  <c r="G97" i="4"/>
  <c r="J98" i="4" s="1"/>
  <c r="G154" i="4"/>
  <c r="J155" i="4" s="1"/>
  <c r="G139" i="4"/>
  <c r="J140" i="4" s="1"/>
  <c r="G124" i="4"/>
  <c r="J125" i="4" s="1"/>
  <c r="G144" i="4"/>
  <c r="J145" i="4" s="1"/>
  <c r="G135" i="4"/>
  <c r="J136" i="4" s="1"/>
  <c r="G120" i="4"/>
  <c r="J121" i="4" s="1"/>
  <c r="G114" i="4"/>
  <c r="J115" i="4" s="1"/>
  <c r="G110" i="4"/>
  <c r="J111" i="4" s="1"/>
  <c r="G148" i="4"/>
  <c r="J149" i="4" s="1"/>
  <c r="G127" i="4"/>
  <c r="J128" i="4" s="1"/>
  <c r="G123" i="4"/>
  <c r="J124" i="4" s="1"/>
  <c r="G112" i="4"/>
  <c r="J113" i="4" s="1"/>
  <c r="G92" i="4"/>
  <c r="J93" i="4" s="1"/>
  <c r="G88" i="4"/>
  <c r="J89" i="4" s="1"/>
  <c r="G84" i="4"/>
  <c r="J85" i="4" s="1"/>
  <c r="G80" i="4"/>
  <c r="J81" i="4" s="1"/>
  <c r="G76" i="4"/>
  <c r="J77" i="4" s="1"/>
  <c r="G72" i="4"/>
  <c r="J73" i="4" s="1"/>
  <c r="G68" i="4"/>
  <c r="J69" i="4" s="1"/>
  <c r="G132" i="4"/>
  <c r="J133" i="4" s="1"/>
  <c r="G118" i="4"/>
  <c r="J119" i="4" s="1"/>
  <c r="G100" i="4"/>
  <c r="J101" i="4" s="1"/>
  <c r="G96" i="4"/>
  <c r="J97" i="4" s="1"/>
  <c r="G151" i="4"/>
  <c r="J152" i="4" s="1"/>
  <c r="G122" i="4"/>
  <c r="J123" i="4" s="1"/>
  <c r="G108" i="4"/>
  <c r="J109" i="4" s="1"/>
  <c r="G104" i="4"/>
  <c r="J105" i="4" s="1"/>
  <c r="G102" i="4"/>
  <c r="J103" i="4" s="1"/>
  <c r="G98" i="4"/>
  <c r="J99" i="4" s="1"/>
  <c r="G93" i="4"/>
  <c r="J94" i="4" s="1"/>
  <c r="G89" i="4"/>
  <c r="J90" i="4" s="1"/>
  <c r="G85" i="4"/>
  <c r="J86" i="4" s="1"/>
  <c r="G81" i="4"/>
  <c r="J82" i="4" s="1"/>
  <c r="G77" i="4"/>
  <c r="J78" i="4" s="1"/>
  <c r="G152" i="4"/>
  <c r="J153" i="4" s="1"/>
  <c r="G136" i="4"/>
  <c r="J137" i="4" s="1"/>
  <c r="G87" i="4"/>
  <c r="J88" i="4" s="1"/>
  <c r="G86" i="4"/>
  <c r="J87" i="4" s="1"/>
  <c r="G71" i="4"/>
  <c r="J72" i="4" s="1"/>
  <c r="G66" i="4"/>
  <c r="J67" i="4" s="1"/>
  <c r="G128" i="4"/>
  <c r="J129" i="4" s="1"/>
  <c r="G115" i="4"/>
  <c r="J116" i="4" s="1"/>
  <c r="G99" i="4"/>
  <c r="J100" i="4" s="1"/>
  <c r="G91" i="4"/>
  <c r="J92" i="4" s="1"/>
  <c r="G90" i="4"/>
  <c r="J91" i="4" s="1"/>
  <c r="G75" i="4"/>
  <c r="J76" i="4" s="1"/>
  <c r="G70" i="4"/>
  <c r="J71" i="4" s="1"/>
  <c r="G65" i="4"/>
  <c r="J66" i="4" s="1"/>
  <c r="G61" i="4"/>
  <c r="J62" i="4" s="1"/>
  <c r="G57" i="4"/>
  <c r="J58" i="4" s="1"/>
  <c r="G95" i="4"/>
  <c r="J96" i="4" s="1"/>
  <c r="G94" i="4"/>
  <c r="J95" i="4" s="1"/>
  <c r="G74" i="4"/>
  <c r="J75" i="4" s="1"/>
  <c r="G69" i="4"/>
  <c r="J70" i="4" s="1"/>
  <c r="G111" i="4"/>
  <c r="J112" i="4" s="1"/>
  <c r="G83" i="4"/>
  <c r="J84" i="4" s="1"/>
  <c r="G82" i="4"/>
  <c r="J83" i="4" s="1"/>
  <c r="G79" i="4"/>
  <c r="J80" i="4" s="1"/>
  <c r="G67" i="4"/>
  <c r="J68" i="4" s="1"/>
  <c r="G64" i="4"/>
  <c r="J65" i="4" s="1"/>
  <c r="G60" i="4"/>
  <c r="J61" i="4" s="1"/>
  <c r="G78" i="4"/>
  <c r="J79" i="4" s="1"/>
  <c r="G73" i="4"/>
  <c r="J74" i="4" s="1"/>
  <c r="G51" i="4"/>
  <c r="J52" i="4" s="1"/>
  <c r="G47" i="4"/>
  <c r="J48" i="4" s="1"/>
  <c r="G43" i="4"/>
  <c r="J44" i="4" s="1"/>
  <c r="G39" i="4"/>
  <c r="J40" i="4" s="1"/>
  <c r="G63" i="4"/>
  <c r="J64" i="4" s="1"/>
  <c r="G58" i="4"/>
  <c r="J59" i="4" s="1"/>
  <c r="G107" i="4"/>
  <c r="J108" i="4" s="1"/>
  <c r="G103" i="4"/>
  <c r="J104" i="4" s="1"/>
  <c r="G54" i="4"/>
  <c r="J55" i="4" s="1"/>
  <c r="G50" i="4"/>
  <c r="J51" i="4" s="1"/>
  <c r="G46" i="4"/>
  <c r="J47" i="4" s="1"/>
  <c r="G42" i="4"/>
  <c r="J43" i="4" s="1"/>
  <c r="G38" i="4"/>
  <c r="J39" i="4" s="1"/>
  <c r="G40" i="4"/>
  <c r="J41" i="4" s="1"/>
  <c r="G17" i="4"/>
  <c r="G27" i="4"/>
  <c r="J28" i="4" s="1"/>
  <c r="S44" i="4"/>
  <c r="G48" i="4"/>
  <c r="J49" i="4" s="1"/>
  <c r="G20" i="4"/>
  <c r="J21" i="4" s="1"/>
  <c r="G25" i="4"/>
  <c r="J26" i="4" s="1"/>
  <c r="G29" i="4"/>
  <c r="J30" i="4" s="1"/>
  <c r="G33" i="4"/>
  <c r="J34" i="4" s="1"/>
  <c r="G49" i="4"/>
  <c r="J50" i="4" s="1"/>
  <c r="AK49" i="4"/>
  <c r="S51" i="4"/>
  <c r="S52" i="4"/>
  <c r="Y86" i="4"/>
  <c r="AB87" i="4" s="1"/>
  <c r="AH87" i="4" s="1"/>
  <c r="Y128" i="4"/>
  <c r="AB129" i="4" s="1"/>
  <c r="AH129" i="4" s="1"/>
  <c r="G131" i="4"/>
  <c r="J132" i="4" s="1"/>
  <c r="S97" i="4"/>
  <c r="S124" i="4"/>
  <c r="S142" i="4"/>
  <c r="S66" i="4"/>
  <c r="AK87" i="4"/>
  <c r="AM87" i="4" s="1"/>
  <c r="S109" i="4"/>
  <c r="S102" i="4"/>
  <c r="S58" i="4"/>
  <c r="S65" i="4"/>
  <c r="S70" i="4"/>
  <c r="S77" i="4"/>
  <c r="S85" i="4"/>
  <c r="AK103" i="4"/>
  <c r="AM103" i="4" s="1"/>
  <c r="S113" i="4"/>
  <c r="S127" i="4"/>
  <c r="S98" i="4"/>
  <c r="U149" i="4"/>
  <c r="S134" i="4"/>
  <c r="S145" i="4"/>
  <c r="AK150" i="4"/>
  <c r="AM150" i="4" s="1"/>
  <c r="S120" i="4"/>
  <c r="S129" i="4"/>
  <c r="S138" i="4"/>
  <c r="U150" i="4"/>
  <c r="AK140" i="4"/>
  <c r="AM140" i="4" s="1"/>
  <c r="S147" i="4"/>
  <c r="AK123" i="4"/>
  <c r="AM123" i="4" s="1"/>
  <c r="S151" i="4"/>
  <c r="S153" i="4"/>
  <c r="U159" i="4"/>
  <c r="S157" i="4"/>
  <c r="S162" i="4"/>
  <c r="U152" i="4"/>
  <c r="S156" i="4"/>
  <c r="U161" i="4"/>
  <c r="U175" i="4"/>
  <c r="AK175" i="4"/>
  <c r="AM175" i="4" s="1"/>
  <c r="U158" i="4"/>
  <c r="S165" i="4"/>
  <c r="S171" i="4"/>
  <c r="U176" i="4"/>
  <c r="AK154" i="4"/>
  <c r="AM154" i="4" s="1"/>
  <c r="U160" i="4"/>
  <c r="U170" i="4"/>
  <c r="S172" i="4"/>
  <c r="S180" i="4"/>
  <c r="U163" i="4"/>
  <c r="AK168" i="4"/>
  <c r="AM168" i="4" s="1"/>
  <c r="U177" i="4"/>
  <c r="U168" i="4"/>
  <c r="U169" i="4"/>
  <c r="U173" i="4"/>
  <c r="AK183" i="4"/>
  <c r="AM183" i="4" s="1"/>
  <c r="U183" i="4"/>
  <c r="S164" i="4"/>
  <c r="S166" i="4"/>
  <c r="U167" i="4"/>
  <c r="U182" i="4"/>
  <c r="U190" i="4"/>
  <c r="U192" i="4"/>
  <c r="S188" i="4"/>
  <c r="S178" i="4"/>
  <c r="S186" i="4"/>
  <c r="AK179" i="4"/>
  <c r="AM179" i="4" s="1"/>
  <c r="AK181" i="4"/>
  <c r="AM181" i="4" s="1"/>
  <c r="U184" i="4"/>
  <c r="U193" i="4"/>
  <c r="S194" i="4"/>
  <c r="S196" i="4"/>
  <c r="AK195" i="4"/>
  <c r="AM195" i="4" s="1"/>
  <c r="Y197" i="2"/>
  <c r="AN23" i="2"/>
  <c r="AE24" i="2"/>
  <c r="AS23" i="2"/>
  <c r="AA197" i="2"/>
  <c r="I197" i="2"/>
  <c r="G197" i="2"/>
  <c r="U197" i="2"/>
  <c r="U193" i="2"/>
  <c r="U185" i="2"/>
  <c r="U177" i="2"/>
  <c r="U169" i="2"/>
  <c r="U161" i="2"/>
  <c r="U153" i="2"/>
  <c r="U175" i="2"/>
  <c r="U194" i="2"/>
  <c r="U170" i="2"/>
  <c r="U162" i="2"/>
  <c r="U154" i="2"/>
  <c r="N17" i="2"/>
  <c r="U192" i="2"/>
  <c r="U184" i="2"/>
  <c r="U176" i="2"/>
  <c r="U168" i="2"/>
  <c r="U160" i="2"/>
  <c r="U152" i="2"/>
  <c r="K18" i="2"/>
  <c r="U191" i="2"/>
  <c r="U183" i="2"/>
  <c r="U167" i="2"/>
  <c r="U159" i="2"/>
  <c r="U151" i="2"/>
  <c r="U195" i="2"/>
  <c r="U187" i="2"/>
  <c r="U179" i="2"/>
  <c r="U171" i="2"/>
  <c r="U163" i="2"/>
  <c r="U155" i="2"/>
  <c r="U147" i="2"/>
  <c r="P17" i="2"/>
  <c r="Q17" i="2" s="1"/>
  <c r="U186" i="2"/>
  <c r="U178" i="2"/>
  <c r="U146" i="2"/>
  <c r="U190" i="2"/>
  <c r="U182" i="2"/>
  <c r="U174" i="2"/>
  <c r="U166" i="2"/>
  <c r="U158" i="2"/>
  <c r="U150" i="2"/>
  <c r="U189" i="2"/>
  <c r="U181" i="2"/>
  <c r="U173" i="2"/>
  <c r="U165" i="2"/>
  <c r="U157" i="2"/>
  <c r="U149" i="2"/>
  <c r="U196" i="2"/>
  <c r="U188" i="2"/>
  <c r="U180" i="2"/>
  <c r="U172" i="2"/>
  <c r="U164" i="2"/>
  <c r="U156" i="2"/>
  <c r="U148" i="2"/>
  <c r="M17" i="2"/>
  <c r="T17" i="2" s="1"/>
  <c r="U17" i="2" s="1"/>
  <c r="V17" i="2" s="1"/>
  <c r="AH23" i="2"/>
  <c r="AA31" i="2"/>
  <c r="AA39" i="2"/>
  <c r="AA47" i="2"/>
  <c r="AA55" i="2"/>
  <c r="AA63" i="2"/>
  <c r="AA71" i="2"/>
  <c r="AA79" i="2"/>
  <c r="AA87" i="2"/>
  <c r="AA95" i="2"/>
  <c r="AA103" i="2"/>
  <c r="AA111" i="2"/>
  <c r="AA119" i="2"/>
  <c r="AA127" i="2"/>
  <c r="AA135" i="2"/>
  <c r="AA143" i="2"/>
  <c r="AA151" i="2"/>
  <c r="AA159" i="2"/>
  <c r="AA167" i="2"/>
  <c r="AA175" i="2"/>
  <c r="AA183" i="2"/>
  <c r="AA191" i="2"/>
  <c r="AA34" i="2"/>
  <c r="AA66" i="2"/>
  <c r="AA106" i="2"/>
  <c r="AA130" i="2"/>
  <c r="AA146" i="2"/>
  <c r="AA170" i="2"/>
  <c r="AA194" i="2"/>
  <c r="AA27" i="2"/>
  <c r="AA91" i="2"/>
  <c r="AA115" i="2"/>
  <c r="AA147" i="2"/>
  <c r="AA171" i="2"/>
  <c r="AA24" i="2"/>
  <c r="AA32" i="2"/>
  <c r="AA40" i="2"/>
  <c r="AA48" i="2"/>
  <c r="AA56" i="2"/>
  <c r="AA64" i="2"/>
  <c r="AA72" i="2"/>
  <c r="AA80" i="2"/>
  <c r="AA88" i="2"/>
  <c r="AA96" i="2"/>
  <c r="AA104" i="2"/>
  <c r="AA112" i="2"/>
  <c r="AA120" i="2"/>
  <c r="AA128" i="2"/>
  <c r="AA136" i="2"/>
  <c r="AA144" i="2"/>
  <c r="AA152" i="2"/>
  <c r="AA160" i="2"/>
  <c r="AA168" i="2"/>
  <c r="AA176" i="2"/>
  <c r="AA184" i="2"/>
  <c r="AA192" i="2"/>
  <c r="AA42" i="2"/>
  <c r="AA82" i="2"/>
  <c r="AA98" i="2"/>
  <c r="AA122" i="2"/>
  <c r="AA162" i="2"/>
  <c r="AA186" i="2"/>
  <c r="AA51" i="2"/>
  <c r="AA83" i="2"/>
  <c r="AA107" i="2"/>
  <c r="AA131" i="2"/>
  <c r="AA163" i="2"/>
  <c r="AA195" i="2"/>
  <c r="AA25" i="2"/>
  <c r="AA33" i="2"/>
  <c r="AA41" i="2"/>
  <c r="AA49" i="2"/>
  <c r="AA57" i="2"/>
  <c r="AA65" i="2"/>
  <c r="AA73" i="2"/>
  <c r="AA81" i="2"/>
  <c r="AA89" i="2"/>
  <c r="AA97" i="2"/>
  <c r="AA105" i="2"/>
  <c r="AA113" i="2"/>
  <c r="AA121" i="2"/>
  <c r="AA129" i="2"/>
  <c r="AA137" i="2"/>
  <c r="AA145" i="2"/>
  <c r="AA153" i="2"/>
  <c r="AA161" i="2"/>
  <c r="AA169" i="2"/>
  <c r="AA177" i="2"/>
  <c r="AA185" i="2"/>
  <c r="AA193" i="2"/>
  <c r="AA50" i="2"/>
  <c r="AA74" i="2"/>
  <c r="AA90" i="2"/>
  <c r="AA114" i="2"/>
  <c r="AA154" i="2"/>
  <c r="AA178" i="2"/>
  <c r="AA35" i="2"/>
  <c r="AA59" i="2"/>
  <c r="AA67" i="2"/>
  <c r="AA75" i="2"/>
  <c r="AA99" i="2"/>
  <c r="AA123" i="2"/>
  <c r="AA155" i="2"/>
  <c r="AA187" i="2"/>
  <c r="AA26" i="2"/>
  <c r="AA58" i="2"/>
  <c r="AA138" i="2"/>
  <c r="AA28" i="2"/>
  <c r="AA36" i="2"/>
  <c r="AA44" i="2"/>
  <c r="AA52" i="2"/>
  <c r="AA60" i="2"/>
  <c r="AA68" i="2"/>
  <c r="AA76" i="2"/>
  <c r="AA84" i="2"/>
  <c r="AA92" i="2"/>
  <c r="AA100" i="2"/>
  <c r="AA108" i="2"/>
  <c r="AA116" i="2"/>
  <c r="AA124" i="2"/>
  <c r="AA132" i="2"/>
  <c r="AA140" i="2"/>
  <c r="AA148" i="2"/>
  <c r="AA156" i="2"/>
  <c r="AA164" i="2"/>
  <c r="AA172" i="2"/>
  <c r="AA180" i="2"/>
  <c r="AA188" i="2"/>
  <c r="AA196" i="2"/>
  <c r="AA29" i="2"/>
  <c r="AA37" i="2"/>
  <c r="AA45" i="2"/>
  <c r="AA53" i="2"/>
  <c r="AA61" i="2"/>
  <c r="AA69" i="2"/>
  <c r="AA77" i="2"/>
  <c r="AA85" i="2"/>
  <c r="AA93" i="2"/>
  <c r="AA101" i="2"/>
  <c r="AA109" i="2"/>
  <c r="AA117" i="2"/>
  <c r="AA125" i="2"/>
  <c r="AA133" i="2"/>
  <c r="AA141" i="2"/>
  <c r="AA149" i="2"/>
  <c r="AA157" i="2"/>
  <c r="AA165" i="2"/>
  <c r="AA173" i="2"/>
  <c r="AA181" i="2"/>
  <c r="AA189" i="2"/>
  <c r="AA30" i="2"/>
  <c r="AA38" i="2"/>
  <c r="AA46" i="2"/>
  <c r="AA54" i="2"/>
  <c r="AA62" i="2"/>
  <c r="AA70" i="2"/>
  <c r="AA78" i="2"/>
  <c r="AA86" i="2"/>
  <c r="AA94" i="2"/>
  <c r="AA102" i="2"/>
  <c r="AA110" i="2"/>
  <c r="AA118" i="2"/>
  <c r="AA126" i="2"/>
  <c r="AA134" i="2"/>
  <c r="AA142" i="2"/>
  <c r="AA150" i="2"/>
  <c r="AA158" i="2"/>
  <c r="AA166" i="2"/>
  <c r="AA174" i="2"/>
  <c r="AA182" i="2"/>
  <c r="AA190" i="2"/>
  <c r="AA43" i="2"/>
  <c r="AA139" i="2"/>
  <c r="AA179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71" i="2"/>
  <c r="I63" i="2"/>
  <c r="I55" i="2"/>
  <c r="I47" i="2"/>
  <c r="I39" i="2"/>
  <c r="I31" i="2"/>
  <c r="I23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62" i="2"/>
  <c r="I54" i="2"/>
  <c r="I46" i="2"/>
  <c r="I38" i="2"/>
  <c r="I30" i="2"/>
  <c r="I22" i="2"/>
  <c r="I189" i="2"/>
  <c r="I181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96" i="2"/>
  <c r="K197" i="2" s="1"/>
  <c r="I188" i="2"/>
  <c r="I180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I195" i="2"/>
  <c r="I187" i="2"/>
  <c r="I179" i="2"/>
  <c r="I171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51" i="2"/>
  <c r="I43" i="2"/>
  <c r="I35" i="2"/>
  <c r="I27" i="2"/>
  <c r="I194" i="2"/>
  <c r="I186" i="2"/>
  <c r="I178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  <c r="I66" i="2"/>
  <c r="I58" i="2"/>
  <c r="I50" i="2"/>
  <c r="I42" i="2"/>
  <c r="I34" i="2"/>
  <c r="I26" i="2"/>
  <c r="I193" i="2"/>
  <c r="I185" i="2"/>
  <c r="I177" i="2"/>
  <c r="I169" i="2"/>
  <c r="I161" i="2"/>
  <c r="I153" i="2"/>
  <c r="I145" i="2"/>
  <c r="I137" i="2"/>
  <c r="I129" i="2"/>
  <c r="I121" i="2"/>
  <c r="I113" i="2"/>
  <c r="I105" i="2"/>
  <c r="I97" i="2"/>
  <c r="I89" i="2"/>
  <c r="I81" i="2"/>
  <c r="I73" i="2"/>
  <c r="I65" i="2"/>
  <c r="I57" i="2"/>
  <c r="I49" i="2"/>
  <c r="I41" i="2"/>
  <c r="I33" i="2"/>
  <c r="I25" i="2"/>
  <c r="Y145" i="2"/>
  <c r="G162" i="2"/>
  <c r="J163" i="2" s="1"/>
  <c r="Y152" i="2"/>
  <c r="Y192" i="2"/>
  <c r="G193" i="2"/>
  <c r="J194" i="2" s="1"/>
  <c r="Y144" i="2"/>
  <c r="Y81" i="2"/>
  <c r="G196" i="2"/>
  <c r="J197" i="2" s="1"/>
  <c r="G177" i="2"/>
  <c r="J178" i="2" s="1"/>
  <c r="G153" i="2"/>
  <c r="J154" i="2" s="1"/>
  <c r="G121" i="2"/>
  <c r="J122" i="2" s="1"/>
  <c r="G89" i="2"/>
  <c r="J90" i="2" s="1"/>
  <c r="G57" i="2"/>
  <c r="J58" i="2" s="1"/>
  <c r="G25" i="2"/>
  <c r="J26" i="2" s="1"/>
  <c r="Y40" i="2"/>
  <c r="Y72" i="2"/>
  <c r="Y104" i="2"/>
  <c r="Y136" i="2"/>
  <c r="Y168" i="2"/>
  <c r="G194" i="2"/>
  <c r="J195" i="2" s="1"/>
  <c r="G172" i="2"/>
  <c r="J173" i="2" s="1"/>
  <c r="G146" i="2"/>
  <c r="J147" i="2" s="1"/>
  <c r="G114" i="2"/>
  <c r="J115" i="2" s="1"/>
  <c r="G82" i="2"/>
  <c r="J83" i="2" s="1"/>
  <c r="G50" i="2"/>
  <c r="J51" i="2" s="1"/>
  <c r="G18" i="2"/>
  <c r="J19" i="2" s="1"/>
  <c r="Y41" i="2"/>
  <c r="Y73" i="2"/>
  <c r="Y105" i="2"/>
  <c r="Y137" i="2"/>
  <c r="Y169" i="2"/>
  <c r="G170" i="2"/>
  <c r="J171" i="2" s="1"/>
  <c r="G81" i="2"/>
  <c r="J82" i="2" s="1"/>
  <c r="Y80" i="2"/>
  <c r="G188" i="2"/>
  <c r="J189" i="2" s="1"/>
  <c r="G106" i="2"/>
  <c r="J107" i="2" s="1"/>
  <c r="G42" i="2"/>
  <c r="J43" i="2" s="1"/>
  <c r="Y113" i="2"/>
  <c r="G186" i="2"/>
  <c r="J187" i="2" s="1"/>
  <c r="G105" i="2"/>
  <c r="J106" i="2" s="1"/>
  <c r="Y24" i="2"/>
  <c r="AK24" i="2" s="1"/>
  <c r="AM24" i="2" s="1"/>
  <c r="Y120" i="2"/>
  <c r="G21" i="2"/>
  <c r="J22" i="2" s="1"/>
  <c r="G29" i="2"/>
  <c r="J30" i="2" s="1"/>
  <c r="G37" i="2"/>
  <c r="J38" i="2" s="1"/>
  <c r="G45" i="2"/>
  <c r="J46" i="2" s="1"/>
  <c r="G53" i="2"/>
  <c r="J54" i="2" s="1"/>
  <c r="G61" i="2"/>
  <c r="J62" i="2" s="1"/>
  <c r="G69" i="2"/>
  <c r="J70" i="2" s="1"/>
  <c r="G77" i="2"/>
  <c r="J78" i="2" s="1"/>
  <c r="G85" i="2"/>
  <c r="J86" i="2" s="1"/>
  <c r="G93" i="2"/>
  <c r="J94" i="2" s="1"/>
  <c r="G101" i="2"/>
  <c r="J102" i="2" s="1"/>
  <c r="G109" i="2"/>
  <c r="J110" i="2" s="1"/>
  <c r="G117" i="2"/>
  <c r="J118" i="2" s="1"/>
  <c r="G125" i="2"/>
  <c r="J126" i="2" s="1"/>
  <c r="G133" i="2"/>
  <c r="J134" i="2" s="1"/>
  <c r="G141" i="2"/>
  <c r="J142" i="2" s="1"/>
  <c r="G149" i="2"/>
  <c r="J150" i="2" s="1"/>
  <c r="G157" i="2"/>
  <c r="J158" i="2" s="1"/>
  <c r="G165" i="2"/>
  <c r="J166" i="2" s="1"/>
  <c r="G173" i="2"/>
  <c r="J174" i="2" s="1"/>
  <c r="G181" i="2"/>
  <c r="J182" i="2" s="1"/>
  <c r="G189" i="2"/>
  <c r="J190" i="2" s="1"/>
  <c r="G80" i="2"/>
  <c r="J81" i="2" s="1"/>
  <c r="G96" i="2"/>
  <c r="J97" i="2" s="1"/>
  <c r="G104" i="2"/>
  <c r="J105" i="2" s="1"/>
  <c r="G112" i="2"/>
  <c r="J113" i="2" s="1"/>
  <c r="G160" i="2"/>
  <c r="J161" i="2" s="1"/>
  <c r="G184" i="2"/>
  <c r="J185" i="2" s="1"/>
  <c r="G22" i="2"/>
  <c r="J23" i="2" s="1"/>
  <c r="G30" i="2"/>
  <c r="J31" i="2" s="1"/>
  <c r="G38" i="2"/>
  <c r="J39" i="2" s="1"/>
  <c r="G46" i="2"/>
  <c r="J47" i="2" s="1"/>
  <c r="G54" i="2"/>
  <c r="J55" i="2" s="1"/>
  <c r="G62" i="2"/>
  <c r="J63" i="2" s="1"/>
  <c r="G70" i="2"/>
  <c r="J71" i="2" s="1"/>
  <c r="G78" i="2"/>
  <c r="J79" i="2" s="1"/>
  <c r="G86" i="2"/>
  <c r="J87" i="2" s="1"/>
  <c r="G94" i="2"/>
  <c r="J95" i="2" s="1"/>
  <c r="G102" i="2"/>
  <c r="J103" i="2" s="1"/>
  <c r="G110" i="2"/>
  <c r="J111" i="2" s="1"/>
  <c r="G118" i="2"/>
  <c r="J119" i="2" s="1"/>
  <c r="G126" i="2"/>
  <c r="J127" i="2" s="1"/>
  <c r="G134" i="2"/>
  <c r="J135" i="2" s="1"/>
  <c r="G142" i="2"/>
  <c r="J143" i="2" s="1"/>
  <c r="G150" i="2"/>
  <c r="J151" i="2" s="1"/>
  <c r="G158" i="2"/>
  <c r="J159" i="2" s="1"/>
  <c r="G166" i="2"/>
  <c r="J167" i="2" s="1"/>
  <c r="G174" i="2"/>
  <c r="J175" i="2" s="1"/>
  <c r="G182" i="2"/>
  <c r="J183" i="2" s="1"/>
  <c r="G190" i="2"/>
  <c r="J191" i="2" s="1"/>
  <c r="G17" i="2"/>
  <c r="J18" i="2" s="1"/>
  <c r="G32" i="2"/>
  <c r="J33" i="2" s="1"/>
  <c r="G48" i="2"/>
  <c r="J49" i="2" s="1"/>
  <c r="G64" i="2"/>
  <c r="J65" i="2" s="1"/>
  <c r="G120" i="2"/>
  <c r="J121" i="2" s="1"/>
  <c r="G128" i="2"/>
  <c r="J129" i="2" s="1"/>
  <c r="G144" i="2"/>
  <c r="J145" i="2" s="1"/>
  <c r="G168" i="2"/>
  <c r="J169" i="2" s="1"/>
  <c r="G192" i="2"/>
  <c r="J193" i="2" s="1"/>
  <c r="G23" i="2"/>
  <c r="J24" i="2" s="1"/>
  <c r="G31" i="2"/>
  <c r="J32" i="2" s="1"/>
  <c r="G39" i="2"/>
  <c r="J40" i="2" s="1"/>
  <c r="G47" i="2"/>
  <c r="J48" i="2" s="1"/>
  <c r="G55" i="2"/>
  <c r="J56" i="2" s="1"/>
  <c r="G63" i="2"/>
  <c r="J64" i="2" s="1"/>
  <c r="G71" i="2"/>
  <c r="J72" i="2" s="1"/>
  <c r="G79" i="2"/>
  <c r="J80" i="2" s="1"/>
  <c r="G87" i="2"/>
  <c r="J88" i="2" s="1"/>
  <c r="G95" i="2"/>
  <c r="J96" i="2" s="1"/>
  <c r="G103" i="2"/>
  <c r="J104" i="2" s="1"/>
  <c r="G111" i="2"/>
  <c r="J112" i="2" s="1"/>
  <c r="G119" i="2"/>
  <c r="J120" i="2" s="1"/>
  <c r="G127" i="2"/>
  <c r="J128" i="2" s="1"/>
  <c r="G135" i="2"/>
  <c r="J136" i="2" s="1"/>
  <c r="G143" i="2"/>
  <c r="J144" i="2" s="1"/>
  <c r="G151" i="2"/>
  <c r="J152" i="2" s="1"/>
  <c r="G159" i="2"/>
  <c r="J160" i="2" s="1"/>
  <c r="G167" i="2"/>
  <c r="J168" i="2" s="1"/>
  <c r="G175" i="2"/>
  <c r="J176" i="2" s="1"/>
  <c r="G183" i="2"/>
  <c r="J184" i="2" s="1"/>
  <c r="G191" i="2"/>
  <c r="J192" i="2" s="1"/>
  <c r="G24" i="2"/>
  <c r="J25" i="2" s="1"/>
  <c r="G40" i="2"/>
  <c r="J41" i="2" s="1"/>
  <c r="G56" i="2"/>
  <c r="J57" i="2" s="1"/>
  <c r="G72" i="2"/>
  <c r="J73" i="2" s="1"/>
  <c r="G88" i="2"/>
  <c r="J89" i="2" s="1"/>
  <c r="G136" i="2"/>
  <c r="J137" i="2" s="1"/>
  <c r="G152" i="2"/>
  <c r="J153" i="2" s="1"/>
  <c r="G176" i="2"/>
  <c r="J177" i="2" s="1"/>
  <c r="G19" i="2"/>
  <c r="J20" i="2" s="1"/>
  <c r="G27" i="2"/>
  <c r="J28" i="2" s="1"/>
  <c r="G35" i="2"/>
  <c r="J36" i="2" s="1"/>
  <c r="G43" i="2"/>
  <c r="J44" i="2" s="1"/>
  <c r="G51" i="2"/>
  <c r="J52" i="2" s="1"/>
  <c r="G59" i="2"/>
  <c r="J60" i="2" s="1"/>
  <c r="G67" i="2"/>
  <c r="J68" i="2" s="1"/>
  <c r="G75" i="2"/>
  <c r="J76" i="2" s="1"/>
  <c r="G83" i="2"/>
  <c r="J84" i="2" s="1"/>
  <c r="G91" i="2"/>
  <c r="J92" i="2" s="1"/>
  <c r="G99" i="2"/>
  <c r="J100" i="2" s="1"/>
  <c r="G107" i="2"/>
  <c r="J108" i="2" s="1"/>
  <c r="G115" i="2"/>
  <c r="J116" i="2" s="1"/>
  <c r="G123" i="2"/>
  <c r="J124" i="2" s="1"/>
  <c r="G131" i="2"/>
  <c r="J132" i="2" s="1"/>
  <c r="G139" i="2"/>
  <c r="J140" i="2" s="1"/>
  <c r="G147" i="2"/>
  <c r="J148" i="2" s="1"/>
  <c r="G155" i="2"/>
  <c r="J156" i="2" s="1"/>
  <c r="G163" i="2"/>
  <c r="J164" i="2" s="1"/>
  <c r="G171" i="2"/>
  <c r="J172" i="2" s="1"/>
  <c r="G179" i="2"/>
  <c r="J180" i="2" s="1"/>
  <c r="G187" i="2"/>
  <c r="J188" i="2" s="1"/>
  <c r="G195" i="2"/>
  <c r="J196" i="2" s="1"/>
  <c r="G20" i="2"/>
  <c r="J21" i="2" s="1"/>
  <c r="G28" i="2"/>
  <c r="J29" i="2" s="1"/>
  <c r="G36" i="2"/>
  <c r="J37" i="2" s="1"/>
  <c r="G44" i="2"/>
  <c r="J45" i="2" s="1"/>
  <c r="G52" i="2"/>
  <c r="J53" i="2" s="1"/>
  <c r="G60" i="2"/>
  <c r="J61" i="2" s="1"/>
  <c r="G68" i="2"/>
  <c r="J69" i="2" s="1"/>
  <c r="G76" i="2"/>
  <c r="J77" i="2" s="1"/>
  <c r="G84" i="2"/>
  <c r="J85" i="2" s="1"/>
  <c r="G92" i="2"/>
  <c r="J93" i="2" s="1"/>
  <c r="G100" i="2"/>
  <c r="J101" i="2" s="1"/>
  <c r="G108" i="2"/>
  <c r="J109" i="2" s="1"/>
  <c r="G116" i="2"/>
  <c r="J117" i="2" s="1"/>
  <c r="G124" i="2"/>
  <c r="J125" i="2" s="1"/>
  <c r="G132" i="2"/>
  <c r="J133" i="2" s="1"/>
  <c r="G140" i="2"/>
  <c r="J141" i="2" s="1"/>
  <c r="G148" i="2"/>
  <c r="J149" i="2" s="1"/>
  <c r="G156" i="2"/>
  <c r="J157" i="2" s="1"/>
  <c r="G113" i="2"/>
  <c r="J114" i="2" s="1"/>
  <c r="G49" i="2"/>
  <c r="J50" i="2" s="1"/>
  <c r="Y112" i="2"/>
  <c r="G169" i="2"/>
  <c r="J170" i="2" s="1"/>
  <c r="G74" i="2"/>
  <c r="J75" i="2" s="1"/>
  <c r="Y49" i="2"/>
  <c r="Y177" i="2"/>
  <c r="G41" i="2"/>
  <c r="J42" i="2" s="1"/>
  <c r="Y88" i="2"/>
  <c r="Y184" i="2"/>
  <c r="G185" i="2"/>
  <c r="J186" i="2" s="1"/>
  <c r="G98" i="2"/>
  <c r="J99" i="2" s="1"/>
  <c r="G34" i="2"/>
  <c r="J35" i="2" s="1"/>
  <c r="Y57" i="2"/>
  <c r="Y89" i="2"/>
  <c r="Y153" i="2"/>
  <c r="Y185" i="2"/>
  <c r="Y178" i="2"/>
  <c r="G180" i="2"/>
  <c r="J181" i="2" s="1"/>
  <c r="G161" i="2"/>
  <c r="J162" i="2" s="1"/>
  <c r="G129" i="2"/>
  <c r="J130" i="2" s="1"/>
  <c r="G97" i="2"/>
  <c r="J98" i="2" s="1"/>
  <c r="G65" i="2"/>
  <c r="J66" i="2" s="1"/>
  <c r="G33" i="2"/>
  <c r="J34" i="2" s="1"/>
  <c r="Y32" i="2"/>
  <c r="Y64" i="2"/>
  <c r="Y96" i="2"/>
  <c r="Y128" i="2"/>
  <c r="Y160" i="2"/>
  <c r="G145" i="2"/>
  <c r="J146" i="2" s="1"/>
  <c r="Y48" i="2"/>
  <c r="Y176" i="2"/>
  <c r="G138" i="2"/>
  <c r="J139" i="2" s="1"/>
  <c r="G164" i="2"/>
  <c r="J165" i="2" s="1"/>
  <c r="G137" i="2"/>
  <c r="J138" i="2" s="1"/>
  <c r="G73" i="2"/>
  <c r="J74" i="2" s="1"/>
  <c r="Y56" i="2"/>
  <c r="Y38" i="2"/>
  <c r="Y30" i="2"/>
  <c r="G130" i="2"/>
  <c r="J131" i="2" s="1"/>
  <c r="G66" i="2"/>
  <c r="J67" i="2" s="1"/>
  <c r="Y25" i="2"/>
  <c r="Y121" i="2"/>
  <c r="G178" i="2"/>
  <c r="J179" i="2" s="1"/>
  <c r="G154" i="2"/>
  <c r="J155" i="2" s="1"/>
  <c r="G122" i="2"/>
  <c r="J123" i="2" s="1"/>
  <c r="G90" i="2"/>
  <c r="J91" i="2" s="1"/>
  <c r="G58" i="2"/>
  <c r="J59" i="2" s="1"/>
  <c r="G26" i="2"/>
  <c r="J27" i="2" s="1"/>
  <c r="Y33" i="2"/>
  <c r="Y65" i="2"/>
  <c r="Y97" i="2"/>
  <c r="Y129" i="2"/>
  <c r="Y161" i="2"/>
  <c r="Y193" i="2"/>
  <c r="Y46" i="2"/>
  <c r="Y54" i="2"/>
  <c r="Y62" i="2"/>
  <c r="Y70" i="2"/>
  <c r="Y78" i="2"/>
  <c r="Y86" i="2"/>
  <c r="Y94" i="2"/>
  <c r="Y102" i="2"/>
  <c r="Y110" i="2"/>
  <c r="Y118" i="2"/>
  <c r="Y126" i="2"/>
  <c r="Y134" i="2"/>
  <c r="Y142" i="2"/>
  <c r="Y150" i="2"/>
  <c r="Y158" i="2"/>
  <c r="Y166" i="2"/>
  <c r="Y174" i="2"/>
  <c r="Y182" i="2"/>
  <c r="Y190" i="2"/>
  <c r="Y23" i="2"/>
  <c r="AK23" i="2" s="1"/>
  <c r="Y31" i="2"/>
  <c r="Y39" i="2"/>
  <c r="Y47" i="2"/>
  <c r="Y55" i="2"/>
  <c r="Y63" i="2"/>
  <c r="Y71" i="2"/>
  <c r="Y79" i="2"/>
  <c r="Y87" i="2"/>
  <c r="Y95" i="2"/>
  <c r="Y103" i="2"/>
  <c r="Y111" i="2"/>
  <c r="Y119" i="2"/>
  <c r="Y127" i="2"/>
  <c r="Y135" i="2"/>
  <c r="Y143" i="2"/>
  <c r="Y151" i="2"/>
  <c r="Y159" i="2"/>
  <c r="Y167" i="2"/>
  <c r="Y175" i="2"/>
  <c r="Y183" i="2"/>
  <c r="Y191" i="2"/>
  <c r="Y34" i="2"/>
  <c r="Y58" i="2"/>
  <c r="Y82" i="2"/>
  <c r="Y106" i="2"/>
  <c r="Y130" i="2"/>
  <c r="Y162" i="2"/>
  <c r="Y186" i="2"/>
  <c r="Y27" i="2"/>
  <c r="Y35" i="2"/>
  <c r="Y43" i="2"/>
  <c r="Y51" i="2"/>
  <c r="Y59" i="2"/>
  <c r="Y67" i="2"/>
  <c r="Y75" i="2"/>
  <c r="Y83" i="2"/>
  <c r="Y91" i="2"/>
  <c r="Y99" i="2"/>
  <c r="Y107" i="2"/>
  <c r="Y115" i="2"/>
  <c r="Y123" i="2"/>
  <c r="Y131" i="2"/>
  <c r="Y139" i="2"/>
  <c r="Y147" i="2"/>
  <c r="Y155" i="2"/>
  <c r="Y163" i="2"/>
  <c r="Y171" i="2"/>
  <c r="Y179" i="2"/>
  <c r="Y187" i="2"/>
  <c r="Y195" i="2"/>
  <c r="Y26" i="2"/>
  <c r="Y50" i="2"/>
  <c r="Y74" i="2"/>
  <c r="Y98" i="2"/>
  <c r="Y122" i="2"/>
  <c r="Y146" i="2"/>
  <c r="Y170" i="2"/>
  <c r="Y194" i="2"/>
  <c r="Y28" i="2"/>
  <c r="Y36" i="2"/>
  <c r="Y44" i="2"/>
  <c r="Y52" i="2"/>
  <c r="Y60" i="2"/>
  <c r="Y68" i="2"/>
  <c r="Y76" i="2"/>
  <c r="Y84" i="2"/>
  <c r="Y92" i="2"/>
  <c r="Y100" i="2"/>
  <c r="Y108" i="2"/>
  <c r="Y116" i="2"/>
  <c r="Y124" i="2"/>
  <c r="Y132" i="2"/>
  <c r="Y140" i="2"/>
  <c r="Y148" i="2"/>
  <c r="Y156" i="2"/>
  <c r="Y164" i="2"/>
  <c r="Y172" i="2"/>
  <c r="Y180" i="2"/>
  <c r="Y188" i="2"/>
  <c r="Y196" i="2"/>
  <c r="AB197" i="2" s="1"/>
  <c r="Y42" i="2"/>
  <c r="Y66" i="2"/>
  <c r="Y90" i="2"/>
  <c r="Y114" i="2"/>
  <c r="Y138" i="2"/>
  <c r="Y154" i="2"/>
  <c r="Y29" i="2"/>
  <c r="Y37" i="2"/>
  <c r="Y45" i="2"/>
  <c r="Y53" i="2"/>
  <c r="Y61" i="2"/>
  <c r="Y69" i="2"/>
  <c r="Y77" i="2"/>
  <c r="Y85" i="2"/>
  <c r="Y93" i="2"/>
  <c r="Y101" i="2"/>
  <c r="Y109" i="2"/>
  <c r="Y117" i="2"/>
  <c r="Y125" i="2"/>
  <c r="Y133" i="2"/>
  <c r="Y141" i="2"/>
  <c r="Y149" i="2"/>
  <c r="Y157" i="2"/>
  <c r="Y165" i="2"/>
  <c r="Y173" i="2"/>
  <c r="Y181" i="2"/>
  <c r="Y189" i="2"/>
  <c r="I197" i="4" l="1"/>
  <c r="AK174" i="4"/>
  <c r="AM174" i="4" s="1"/>
  <c r="AK149" i="4"/>
  <c r="AM149" i="4" s="1"/>
  <c r="AK141" i="4"/>
  <c r="AM141" i="4" s="1"/>
  <c r="AK108" i="4"/>
  <c r="AM108" i="4" s="1"/>
  <c r="AK159" i="4"/>
  <c r="AM159" i="4" s="1"/>
  <c r="AK133" i="4"/>
  <c r="AM133" i="4" s="1"/>
  <c r="AK161" i="4"/>
  <c r="AM161" i="4" s="1"/>
  <c r="AK136" i="4"/>
  <c r="AM136" i="4" s="1"/>
  <c r="AK176" i="4"/>
  <c r="AM176" i="4" s="1"/>
  <c r="AK78" i="4"/>
  <c r="AK116" i="4"/>
  <c r="AM116" i="4" s="1"/>
  <c r="AK130" i="4"/>
  <c r="AM130" i="4" s="1"/>
  <c r="AK73" i="4"/>
  <c r="AK173" i="4"/>
  <c r="AM173" i="4" s="1"/>
  <c r="AK68" i="4"/>
  <c r="AK163" i="4"/>
  <c r="AM163" i="4" s="1"/>
  <c r="AK139" i="4"/>
  <c r="AM139" i="4" s="1"/>
  <c r="AK152" i="4"/>
  <c r="AM152" i="4" s="1"/>
  <c r="AK95" i="4"/>
  <c r="AM95" i="4" s="1"/>
  <c r="AK63" i="4"/>
  <c r="AK190" i="4"/>
  <c r="AM190" i="4" s="1"/>
  <c r="AK131" i="4"/>
  <c r="AM131" i="4" s="1"/>
  <c r="AK137" i="4"/>
  <c r="AM137" i="4" s="1"/>
  <c r="AK169" i="4"/>
  <c r="AM169" i="4" s="1"/>
  <c r="AK144" i="4"/>
  <c r="AM144" i="4" s="1"/>
  <c r="AK189" i="4"/>
  <c r="AM189" i="4" s="1"/>
  <c r="AK182" i="4"/>
  <c r="AM182" i="4" s="1"/>
  <c r="AK128" i="4"/>
  <c r="AM128" i="4" s="1"/>
  <c r="AK92" i="4"/>
  <c r="AM92" i="4" s="1"/>
  <c r="AK27" i="4"/>
  <c r="AK80" i="4"/>
  <c r="AK59" i="4"/>
  <c r="AK72" i="4"/>
  <c r="AK26" i="4"/>
  <c r="AK114" i="4"/>
  <c r="AM114" i="4" s="1"/>
  <c r="AK64" i="4"/>
  <c r="AK94" i="4"/>
  <c r="AM94" i="4" s="1"/>
  <c r="AK96" i="4"/>
  <c r="AM96" i="4" s="1"/>
  <c r="AK55" i="4"/>
  <c r="AK24" i="4"/>
  <c r="AK122" i="4"/>
  <c r="AM122" i="4" s="1"/>
  <c r="AK187" i="4"/>
  <c r="AM187" i="4" s="1"/>
  <c r="AK185" i="4"/>
  <c r="AM185" i="4" s="1"/>
  <c r="AK160" i="4"/>
  <c r="AM160" i="4" s="1"/>
  <c r="AK148" i="4"/>
  <c r="AM148" i="4" s="1"/>
  <c r="AK84" i="4"/>
  <c r="AM84" i="4" s="1"/>
  <c r="AK29" i="4"/>
  <c r="AK31" i="4"/>
  <c r="AK38" i="4"/>
  <c r="AK184" i="4"/>
  <c r="AM184" i="4" s="1"/>
  <c r="AK132" i="4"/>
  <c r="AM132" i="4" s="1"/>
  <c r="AK110" i="4"/>
  <c r="AM110" i="4" s="1"/>
  <c r="AK111" i="4"/>
  <c r="AM111" i="4" s="1"/>
  <c r="AK106" i="4"/>
  <c r="AM106" i="4" s="1"/>
  <c r="AK192" i="4"/>
  <c r="AM192" i="4" s="1"/>
  <c r="AK177" i="4"/>
  <c r="AM177" i="4" s="1"/>
  <c r="AK170" i="4"/>
  <c r="AM170" i="4" s="1"/>
  <c r="AK158" i="4"/>
  <c r="AM158" i="4" s="1"/>
  <c r="AB156" i="4"/>
  <c r="AH156" i="4" s="1"/>
  <c r="AK155" i="4"/>
  <c r="AM155" i="4" s="1"/>
  <c r="AB168" i="4"/>
  <c r="AH168" i="4" s="1"/>
  <c r="AK167" i="4"/>
  <c r="AM167" i="4" s="1"/>
  <c r="AB192" i="4"/>
  <c r="AH192" i="4" s="1"/>
  <c r="AK191" i="4"/>
  <c r="AM191" i="4" s="1"/>
  <c r="AK99" i="4"/>
  <c r="AM99" i="4" s="1"/>
  <c r="AK93" i="4"/>
  <c r="AM93" i="4" s="1"/>
  <c r="AK39" i="4"/>
  <c r="AK104" i="4"/>
  <c r="AM104" i="4" s="1"/>
  <c r="AB105" i="4"/>
  <c r="AH105" i="4" s="1"/>
  <c r="AK62" i="4"/>
  <c r="AK83" i="4"/>
  <c r="AM83" i="4" s="1"/>
  <c r="AK60" i="4"/>
  <c r="AK41" i="4"/>
  <c r="AK127" i="4"/>
  <c r="AM127" i="4" s="1"/>
  <c r="AK86" i="4"/>
  <c r="AM86" i="4" s="1"/>
  <c r="AK30" i="4"/>
  <c r="AB194" i="4"/>
  <c r="AH194" i="4" s="1"/>
  <c r="AK193" i="4"/>
  <c r="AM193" i="4" s="1"/>
  <c r="AK25" i="4"/>
  <c r="AK105" i="4"/>
  <c r="AM105" i="4" s="1"/>
  <c r="AK53" i="4"/>
  <c r="AK75" i="4"/>
  <c r="AK57" i="4"/>
  <c r="AK50" i="4"/>
  <c r="AK36" i="4"/>
  <c r="AK61" i="4"/>
  <c r="AK46" i="4"/>
  <c r="AK65" i="4"/>
  <c r="AK142" i="4"/>
  <c r="AM142" i="4" s="1"/>
  <c r="I194" i="4"/>
  <c r="I186" i="4"/>
  <c r="I178" i="4"/>
  <c r="I189" i="4"/>
  <c r="I181" i="4"/>
  <c r="I192" i="4"/>
  <c r="I184" i="4"/>
  <c r="I191" i="4"/>
  <c r="I187" i="4"/>
  <c r="I179" i="4"/>
  <c r="I188" i="4"/>
  <c r="I180" i="4"/>
  <c r="I174" i="4"/>
  <c r="I166" i="4"/>
  <c r="I185" i="4"/>
  <c r="I183" i="4"/>
  <c r="I176" i="4"/>
  <c r="I193" i="4"/>
  <c r="I177" i="4"/>
  <c r="I168" i="4"/>
  <c r="I162" i="4"/>
  <c r="I182" i="4"/>
  <c r="I165" i="4"/>
  <c r="I157" i="4"/>
  <c r="I196" i="4"/>
  <c r="I173" i="4"/>
  <c r="I160" i="4"/>
  <c r="I190" i="4"/>
  <c r="I195" i="4"/>
  <c r="I171" i="4"/>
  <c r="I169" i="4"/>
  <c r="I164" i="4"/>
  <c r="I161" i="4"/>
  <c r="I158" i="4"/>
  <c r="I155" i="4"/>
  <c r="I170" i="4"/>
  <c r="I153" i="4"/>
  <c r="I148" i="4"/>
  <c r="I175" i="4"/>
  <c r="I163" i="4"/>
  <c r="I156" i="4"/>
  <c r="I172" i="4"/>
  <c r="I167" i="4"/>
  <c r="I159" i="4"/>
  <c r="I154" i="4"/>
  <c r="I146" i="4"/>
  <c r="I145" i="4"/>
  <c r="I142" i="4"/>
  <c r="I138" i="4"/>
  <c r="I134" i="4"/>
  <c r="I130" i="4"/>
  <c r="I126" i="4"/>
  <c r="I122" i="4"/>
  <c r="I118" i="4"/>
  <c r="I147" i="4"/>
  <c r="I143" i="4"/>
  <c r="I139" i="4"/>
  <c r="I135" i="4"/>
  <c r="I131" i="4"/>
  <c r="I127" i="4"/>
  <c r="I123" i="4"/>
  <c r="I144" i="4"/>
  <c r="I120" i="4"/>
  <c r="I114" i="4"/>
  <c r="I110" i="4"/>
  <c r="I106" i="4"/>
  <c r="I102" i="4"/>
  <c r="I98" i="4"/>
  <c r="I140" i="4"/>
  <c r="I128" i="4"/>
  <c r="I119" i="4"/>
  <c r="I150" i="4"/>
  <c r="I149" i="4"/>
  <c r="I136" i="4"/>
  <c r="I115" i="4"/>
  <c r="I111" i="4"/>
  <c r="I152" i="4"/>
  <c r="I124" i="4"/>
  <c r="I121" i="4"/>
  <c r="I137" i="4"/>
  <c r="I108" i="4"/>
  <c r="I104" i="4"/>
  <c r="I101" i="4"/>
  <c r="I97" i="4"/>
  <c r="I93" i="4"/>
  <c r="I89" i="4"/>
  <c r="I85" i="4"/>
  <c r="I81" i="4"/>
  <c r="I77" i="4"/>
  <c r="I73" i="4"/>
  <c r="I69" i="4"/>
  <c r="I65" i="4"/>
  <c r="I151" i="4"/>
  <c r="I133" i="4"/>
  <c r="I109" i="4"/>
  <c r="I107" i="4"/>
  <c r="I94" i="4"/>
  <c r="I90" i="4"/>
  <c r="I86" i="4"/>
  <c r="I82" i="4"/>
  <c r="I78" i="4"/>
  <c r="I132" i="4"/>
  <c r="I141" i="4"/>
  <c r="I95" i="4"/>
  <c r="I74" i="4"/>
  <c r="I116" i="4"/>
  <c r="I62" i="4"/>
  <c r="I58" i="4"/>
  <c r="I117" i="4"/>
  <c r="I100" i="4"/>
  <c r="I80" i="4"/>
  <c r="I99" i="4"/>
  <c r="I91" i="4"/>
  <c r="I76" i="4"/>
  <c r="I75" i="4"/>
  <c r="I70" i="4"/>
  <c r="I61" i="4"/>
  <c r="I92" i="4"/>
  <c r="I68" i="4"/>
  <c r="I63" i="4"/>
  <c r="I105" i="4"/>
  <c r="I96" i="4"/>
  <c r="I52" i="4"/>
  <c r="I48" i="4"/>
  <c r="I44" i="4"/>
  <c r="I40" i="4"/>
  <c r="I64" i="4"/>
  <c r="I59" i="4"/>
  <c r="I56" i="4"/>
  <c r="I57" i="4"/>
  <c r="I51" i="4"/>
  <c r="I47" i="4"/>
  <c r="I43" i="4"/>
  <c r="I39" i="4"/>
  <c r="I41" i="4"/>
  <c r="I34" i="4"/>
  <c r="I30" i="4"/>
  <c r="I26" i="4"/>
  <c r="I23" i="4"/>
  <c r="I19" i="4"/>
  <c r="I71" i="4"/>
  <c r="I67" i="4"/>
  <c r="I32" i="4"/>
  <c r="I28" i="4"/>
  <c r="I112" i="4"/>
  <c r="I83" i="4"/>
  <c r="I46" i="4"/>
  <c r="I38" i="4"/>
  <c r="I37" i="4"/>
  <c r="I66" i="4"/>
  <c r="I53" i="4"/>
  <c r="I29" i="4"/>
  <c r="I129" i="4"/>
  <c r="I87" i="4"/>
  <c r="I42" i="4"/>
  <c r="I35" i="4"/>
  <c r="I31" i="4"/>
  <c r="I27" i="4"/>
  <c r="I22" i="4"/>
  <c r="I18" i="4"/>
  <c r="I17" i="4"/>
  <c r="I72" i="4"/>
  <c r="I36" i="4"/>
  <c r="I21" i="4"/>
  <c r="I33" i="4"/>
  <c r="I79" i="4"/>
  <c r="I24" i="4"/>
  <c r="I84" i="4"/>
  <c r="I60" i="4"/>
  <c r="I113" i="4"/>
  <c r="I88" i="4"/>
  <c r="I54" i="4"/>
  <c r="I49" i="4"/>
  <c r="I125" i="4"/>
  <c r="I103" i="4"/>
  <c r="I55" i="4"/>
  <c r="I50" i="4"/>
  <c r="I45" i="4"/>
  <c r="N17" i="4"/>
  <c r="I25" i="4"/>
  <c r="I20" i="4"/>
  <c r="AK178" i="4"/>
  <c r="AM178" i="4" s="1"/>
  <c r="U178" i="4"/>
  <c r="U180" i="4"/>
  <c r="AK180" i="4"/>
  <c r="AM180" i="4" s="1"/>
  <c r="AK120" i="4"/>
  <c r="AM120" i="4" s="1"/>
  <c r="AK34" i="4"/>
  <c r="AK88" i="4"/>
  <c r="AM88" i="4" s="1"/>
  <c r="AB126" i="4"/>
  <c r="AH126" i="4" s="1"/>
  <c r="AK125" i="4"/>
  <c r="AM125" i="4" s="1"/>
  <c r="AB147" i="4"/>
  <c r="AH147" i="4" s="1"/>
  <c r="AK146" i="4"/>
  <c r="AM146" i="4" s="1"/>
  <c r="AK40" i="4"/>
  <c r="AK91" i="4"/>
  <c r="AM91" i="4" s="1"/>
  <c r="AK166" i="4"/>
  <c r="AM166" i="4" s="1"/>
  <c r="U166" i="4"/>
  <c r="AK97" i="4"/>
  <c r="AM97" i="4" s="1"/>
  <c r="AK165" i="4"/>
  <c r="AM165" i="4" s="1"/>
  <c r="U165" i="4"/>
  <c r="AK157" i="4"/>
  <c r="AM157" i="4" s="1"/>
  <c r="U157" i="4"/>
  <c r="AK145" i="4"/>
  <c r="AM145" i="4" s="1"/>
  <c r="AK37" i="4"/>
  <c r="AK196" i="4"/>
  <c r="AM196" i="4" s="1"/>
  <c r="U196" i="4"/>
  <c r="AK48" i="4"/>
  <c r="AK194" i="4"/>
  <c r="AM194" i="4" s="1"/>
  <c r="U194" i="4"/>
  <c r="AK98" i="4"/>
  <c r="AM98" i="4" s="1"/>
  <c r="AK113" i="4"/>
  <c r="AM113" i="4" s="1"/>
  <c r="AK90" i="4"/>
  <c r="AM90" i="4" s="1"/>
  <c r="AK109" i="4"/>
  <c r="AM109" i="4" s="1"/>
  <c r="AK51" i="4"/>
  <c r="AK143" i="4"/>
  <c r="AM143" i="4" s="1"/>
  <c r="Y198" i="4"/>
  <c r="AK121" i="4"/>
  <c r="AM121" i="4" s="1"/>
  <c r="AK47" i="4"/>
  <c r="AK101" i="4"/>
  <c r="AM101" i="4" s="1"/>
  <c r="AK89" i="4"/>
  <c r="AM89" i="4" s="1"/>
  <c r="AK71" i="4"/>
  <c r="AK35" i="4"/>
  <c r="AK33" i="4"/>
  <c r="AK129" i="4"/>
  <c r="AM129" i="4" s="1"/>
  <c r="AK156" i="4"/>
  <c r="AM156" i="4" s="1"/>
  <c r="U156" i="4"/>
  <c r="AK138" i="4"/>
  <c r="AM138" i="4" s="1"/>
  <c r="AK134" i="4"/>
  <c r="AM134" i="4" s="1"/>
  <c r="AK85" i="4"/>
  <c r="AM85" i="4" s="1"/>
  <c r="AK52" i="4"/>
  <c r="G198" i="4"/>
  <c r="J18" i="4"/>
  <c r="J198" i="4" s="1"/>
  <c r="AK58" i="4"/>
  <c r="AK188" i="4"/>
  <c r="AM188" i="4" s="1"/>
  <c r="U188" i="4"/>
  <c r="AK172" i="4"/>
  <c r="AM172" i="4" s="1"/>
  <c r="U172" i="4"/>
  <c r="AK162" i="4"/>
  <c r="AM162" i="4" s="1"/>
  <c r="U162" i="4"/>
  <c r="AK151" i="4"/>
  <c r="AM151" i="4" s="1"/>
  <c r="U151" i="4"/>
  <c r="U147" i="4"/>
  <c r="AK147" i="4"/>
  <c r="AM147" i="4" s="1"/>
  <c r="AK115" i="4"/>
  <c r="AM115" i="4" s="1"/>
  <c r="AK77" i="4"/>
  <c r="AK102" i="4"/>
  <c r="AM102" i="4" s="1"/>
  <c r="AK124" i="4"/>
  <c r="AM124" i="4" s="1"/>
  <c r="AK79" i="4"/>
  <c r="AK43" i="4"/>
  <c r="AK67" i="4"/>
  <c r="AB119" i="4"/>
  <c r="AH119" i="4" s="1"/>
  <c r="AK118" i="4"/>
  <c r="AM118" i="4" s="1"/>
  <c r="AK81" i="4"/>
  <c r="AA194" i="4"/>
  <c r="AA186" i="4"/>
  <c r="AA178" i="4"/>
  <c r="AA189" i="4"/>
  <c r="AA181" i="4"/>
  <c r="AA192" i="4"/>
  <c r="AA184" i="4"/>
  <c r="AA191" i="4"/>
  <c r="AA190" i="4"/>
  <c r="AA182" i="4"/>
  <c r="AA174" i="4"/>
  <c r="AA166" i="4"/>
  <c r="AA195" i="4"/>
  <c r="AA179" i="4"/>
  <c r="AA196" i="4"/>
  <c r="AA185" i="4"/>
  <c r="AA177" i="4"/>
  <c r="AA168" i="4"/>
  <c r="AA183" i="4"/>
  <c r="AA162" i="4"/>
  <c r="AA175" i="4"/>
  <c r="AA172" i="4"/>
  <c r="AA165" i="4"/>
  <c r="AA157" i="4"/>
  <c r="AA193" i="4"/>
  <c r="AA169" i="4"/>
  <c r="AA160" i="4"/>
  <c r="AA187" i="4"/>
  <c r="AA188" i="4"/>
  <c r="AA170" i="4"/>
  <c r="AA159" i="4"/>
  <c r="AA176" i="4"/>
  <c r="AA171" i="4"/>
  <c r="AA156" i="4"/>
  <c r="AA155" i="4"/>
  <c r="AA167" i="4"/>
  <c r="AA163" i="4"/>
  <c r="AA153" i="4"/>
  <c r="AA145" i="4"/>
  <c r="AA164" i="4"/>
  <c r="AA161" i="4"/>
  <c r="AA148" i="4"/>
  <c r="AA158" i="4"/>
  <c r="AA180" i="4"/>
  <c r="AA173" i="4"/>
  <c r="AA154" i="4"/>
  <c r="AA152" i="4"/>
  <c r="AA151" i="4"/>
  <c r="AA149" i="4"/>
  <c r="AA143" i="4"/>
  <c r="AA139" i="4"/>
  <c r="AA135" i="4"/>
  <c r="AA131" i="4"/>
  <c r="AA150" i="4"/>
  <c r="AA146" i="4"/>
  <c r="AA142" i="4"/>
  <c r="AA138" i="4"/>
  <c r="AA134" i="4"/>
  <c r="AA130" i="4"/>
  <c r="AA141" i="4"/>
  <c r="AA136" i="4"/>
  <c r="AA137" i="4"/>
  <c r="AA132" i="4"/>
  <c r="AA127" i="4"/>
  <c r="AA120" i="4"/>
  <c r="AA115" i="4"/>
  <c r="AA111" i="4"/>
  <c r="AA107" i="4"/>
  <c r="AA103" i="4"/>
  <c r="AA99" i="4"/>
  <c r="AA133" i="4"/>
  <c r="AA124" i="4"/>
  <c r="AA119" i="4"/>
  <c r="AA147" i="4"/>
  <c r="AA140" i="4"/>
  <c r="AA123" i="4"/>
  <c r="AA114" i="4"/>
  <c r="AA110" i="4"/>
  <c r="AA106" i="4"/>
  <c r="AA126" i="4"/>
  <c r="AA122" i="4"/>
  <c r="AA105" i="4"/>
  <c r="AA144" i="4"/>
  <c r="AA116" i="4"/>
  <c r="AA101" i="4"/>
  <c r="AA100" i="4"/>
  <c r="AA97" i="4"/>
  <c r="AA96" i="4"/>
  <c r="AA94" i="4"/>
  <c r="AA90" i="4"/>
  <c r="AA86" i="4"/>
  <c r="AA125" i="4"/>
  <c r="AA117" i="4"/>
  <c r="AA118" i="4"/>
  <c r="AA108" i="4"/>
  <c r="AA92" i="4"/>
  <c r="AA83" i="4"/>
  <c r="AA128" i="4"/>
  <c r="AA98" i="4"/>
  <c r="AA87" i="4"/>
  <c r="AA129" i="4"/>
  <c r="AA121" i="4"/>
  <c r="AA109" i="4"/>
  <c r="AA93" i="4"/>
  <c r="AA88" i="4"/>
  <c r="AA104" i="4"/>
  <c r="AA95" i="4"/>
  <c r="AA91" i="4"/>
  <c r="AA113" i="4"/>
  <c r="AA89" i="4"/>
  <c r="AA85" i="4"/>
  <c r="AA112" i="4"/>
  <c r="AA102" i="4"/>
  <c r="AA84" i="4"/>
  <c r="AK54" i="4"/>
  <c r="AK32" i="4"/>
  <c r="AK28" i="4"/>
  <c r="AK70" i="4"/>
  <c r="AK42" i="4"/>
  <c r="AK44" i="4"/>
  <c r="AK164" i="4"/>
  <c r="AM164" i="4" s="1"/>
  <c r="U164" i="4"/>
  <c r="AK56" i="4"/>
  <c r="AK112" i="4"/>
  <c r="AM112" i="4" s="1"/>
  <c r="U153" i="4"/>
  <c r="AK153" i="4"/>
  <c r="AM153" i="4" s="1"/>
  <c r="AK186" i="4"/>
  <c r="AM186" i="4" s="1"/>
  <c r="U186" i="4"/>
  <c r="AK171" i="4"/>
  <c r="AM171" i="4" s="1"/>
  <c r="U171" i="4"/>
  <c r="AK135" i="4"/>
  <c r="AM135" i="4" s="1"/>
  <c r="AK119" i="4"/>
  <c r="AM119" i="4" s="1"/>
  <c r="AK107" i="4"/>
  <c r="AM107" i="4" s="1"/>
  <c r="AK126" i="4"/>
  <c r="AM126" i="4" s="1"/>
  <c r="AK100" i="4"/>
  <c r="AM100" i="4" s="1"/>
  <c r="AK66" i="4"/>
  <c r="AK74" i="4"/>
  <c r="AK76" i="4"/>
  <c r="AK117" i="4"/>
  <c r="AM117" i="4" s="1"/>
  <c r="AK69" i="4"/>
  <c r="AK45" i="4"/>
  <c r="AK82" i="4"/>
  <c r="AL25" i="4"/>
  <c r="AM23" i="2"/>
  <c r="AE25" i="2"/>
  <c r="P197" i="2"/>
  <c r="Q197" i="2" s="1"/>
  <c r="AP24" i="2"/>
  <c r="AQ24" i="2" s="1"/>
  <c r="R197" i="2"/>
  <c r="AG23" i="2"/>
  <c r="AB160" i="2"/>
  <c r="AH160" i="2" s="1"/>
  <c r="AB137" i="2"/>
  <c r="AH137" i="2" s="1"/>
  <c r="AB152" i="2"/>
  <c r="AH152" i="2" s="1"/>
  <c r="AB24" i="2"/>
  <c r="AR24" i="2" s="1"/>
  <c r="AB146" i="2"/>
  <c r="AH146" i="2" s="1"/>
  <c r="AB141" i="2"/>
  <c r="AH141" i="2" s="1"/>
  <c r="AB98" i="2"/>
  <c r="AH98" i="2" s="1"/>
  <c r="AB94" i="2"/>
  <c r="AH94" i="2" s="1"/>
  <c r="AB127" i="2"/>
  <c r="AH127" i="2" s="1"/>
  <c r="AB73" i="2"/>
  <c r="AH73" i="2" s="1"/>
  <c r="AB124" i="2"/>
  <c r="AH124" i="2" s="1"/>
  <c r="AB133" i="2"/>
  <c r="AH133" i="2" s="1"/>
  <c r="AB123" i="2"/>
  <c r="AH123" i="2" s="1"/>
  <c r="AB80" i="2"/>
  <c r="AH80" i="2" s="1"/>
  <c r="AB65" i="2"/>
  <c r="AH65" i="2" s="1"/>
  <c r="AB136" i="2"/>
  <c r="AH136" i="2" s="1"/>
  <c r="AB89" i="2"/>
  <c r="AH89" i="2" s="1"/>
  <c r="AB41" i="2"/>
  <c r="AH41" i="2" s="1"/>
  <c r="AB110" i="2"/>
  <c r="AH110" i="2" s="1"/>
  <c r="AB77" i="2"/>
  <c r="AH77" i="2" s="1"/>
  <c r="AB107" i="2"/>
  <c r="AH107" i="2" s="1"/>
  <c r="AB79" i="2"/>
  <c r="AH79" i="2" s="1"/>
  <c r="AB81" i="2"/>
  <c r="AH81" i="2" s="1"/>
  <c r="AB102" i="2"/>
  <c r="AH102" i="2" s="1"/>
  <c r="AB116" i="2"/>
  <c r="AH116" i="2" s="1"/>
  <c r="AB52" i="2"/>
  <c r="AH52" i="2" s="1"/>
  <c r="AB122" i="2"/>
  <c r="AH122" i="2" s="1"/>
  <c r="AB125" i="2"/>
  <c r="AH125" i="2" s="1"/>
  <c r="AB108" i="2"/>
  <c r="AH108" i="2" s="1"/>
  <c r="AB59" i="2"/>
  <c r="AH59" i="2" s="1"/>
  <c r="AB179" i="2"/>
  <c r="AH179" i="2" s="1"/>
  <c r="AB86" i="2"/>
  <c r="AH86" i="2" s="1"/>
  <c r="AB164" i="2"/>
  <c r="AH164" i="2" s="1"/>
  <c r="AB72" i="2"/>
  <c r="AH72" i="2" s="1"/>
  <c r="AB33" i="2"/>
  <c r="AH33" i="2" s="1"/>
  <c r="AB170" i="2"/>
  <c r="AH170" i="2" s="1"/>
  <c r="AB82" i="2"/>
  <c r="AH82" i="2" s="1"/>
  <c r="AB142" i="2"/>
  <c r="AH142" i="2" s="1"/>
  <c r="AB78" i="2"/>
  <c r="AH78" i="2" s="1"/>
  <c r="AB139" i="2"/>
  <c r="AH139" i="2" s="1"/>
  <c r="AB173" i="2"/>
  <c r="AH173" i="2" s="1"/>
  <c r="AB109" i="2"/>
  <c r="AH109" i="2" s="1"/>
  <c r="AB45" i="2"/>
  <c r="AH45" i="2" s="1"/>
  <c r="AB75" i="2"/>
  <c r="AH75" i="2" s="1"/>
  <c r="AB156" i="2"/>
  <c r="AH156" i="2" s="1"/>
  <c r="AB92" i="2"/>
  <c r="AH92" i="2" s="1"/>
  <c r="AB28" i="2"/>
  <c r="AH28" i="2" s="1"/>
  <c r="AB192" i="2"/>
  <c r="AH192" i="2" s="1"/>
  <c r="AB128" i="2"/>
  <c r="AH128" i="2" s="1"/>
  <c r="AB64" i="2"/>
  <c r="AH64" i="2" s="1"/>
  <c r="AB175" i="2"/>
  <c r="AH175" i="2" s="1"/>
  <c r="AB111" i="2"/>
  <c r="AH111" i="2" s="1"/>
  <c r="AB47" i="2"/>
  <c r="AH47" i="2" s="1"/>
  <c r="AB177" i="2"/>
  <c r="AH177" i="2" s="1"/>
  <c r="AB154" i="2"/>
  <c r="AH154" i="2" s="1"/>
  <c r="AB114" i="2"/>
  <c r="AH114" i="2" s="1"/>
  <c r="AB138" i="2"/>
  <c r="AH138" i="2" s="1"/>
  <c r="AB145" i="2"/>
  <c r="AH145" i="2" s="1"/>
  <c r="AB171" i="2"/>
  <c r="AH171" i="2" s="1"/>
  <c r="AB143" i="2"/>
  <c r="AH143" i="2" s="1"/>
  <c r="AB166" i="2"/>
  <c r="AH166" i="2" s="1"/>
  <c r="AB38" i="2"/>
  <c r="AH38" i="2" s="1"/>
  <c r="AB69" i="2"/>
  <c r="AH69" i="2" s="1"/>
  <c r="AB135" i="2"/>
  <c r="AH135" i="2" s="1"/>
  <c r="AB66" i="2"/>
  <c r="AH66" i="2" s="1"/>
  <c r="AB97" i="2"/>
  <c r="AH97" i="2" s="1"/>
  <c r="AB105" i="2"/>
  <c r="AH105" i="2" s="1"/>
  <c r="AB158" i="2"/>
  <c r="AH158" i="2" s="1"/>
  <c r="AB61" i="2"/>
  <c r="AH61" i="2" s="1"/>
  <c r="AB144" i="2"/>
  <c r="AH144" i="2" s="1"/>
  <c r="AB185" i="2"/>
  <c r="AH185" i="2" s="1"/>
  <c r="AB155" i="2"/>
  <c r="AH155" i="2" s="1"/>
  <c r="AB53" i="2"/>
  <c r="AH53" i="2" s="1"/>
  <c r="AB183" i="2"/>
  <c r="AH183" i="2" s="1"/>
  <c r="AB55" i="2"/>
  <c r="AH55" i="2" s="1"/>
  <c r="AB134" i="2"/>
  <c r="AH134" i="2" s="1"/>
  <c r="AB70" i="2"/>
  <c r="AH70" i="2" s="1"/>
  <c r="AB115" i="2"/>
  <c r="AH115" i="2" s="1"/>
  <c r="AB165" i="2"/>
  <c r="AH165" i="2" s="1"/>
  <c r="AB101" i="2"/>
  <c r="AH101" i="2" s="1"/>
  <c r="AB37" i="2"/>
  <c r="AH37" i="2" s="1"/>
  <c r="AB51" i="2"/>
  <c r="AH51" i="2" s="1"/>
  <c r="AB148" i="2"/>
  <c r="AH148" i="2" s="1"/>
  <c r="AB84" i="2"/>
  <c r="AH84" i="2" s="1"/>
  <c r="AB187" i="2"/>
  <c r="AH187" i="2" s="1"/>
  <c r="AB184" i="2"/>
  <c r="AH184" i="2" s="1"/>
  <c r="AB120" i="2"/>
  <c r="AH120" i="2" s="1"/>
  <c r="AB56" i="2"/>
  <c r="AH56" i="2" s="1"/>
  <c r="AB167" i="2"/>
  <c r="AH167" i="2" s="1"/>
  <c r="AB103" i="2"/>
  <c r="AH103" i="2" s="1"/>
  <c r="AB194" i="2"/>
  <c r="AH194" i="2" s="1"/>
  <c r="AB31" i="2"/>
  <c r="AH31" i="2" s="1"/>
  <c r="AB49" i="2"/>
  <c r="AH49" i="2" s="1"/>
  <c r="AB90" i="2"/>
  <c r="AH90" i="2" s="1"/>
  <c r="AB178" i="2"/>
  <c r="AH178" i="2" s="1"/>
  <c r="AB106" i="2"/>
  <c r="AH106" i="2" s="1"/>
  <c r="AB188" i="2"/>
  <c r="AH188" i="2" s="1"/>
  <c r="AB180" i="2"/>
  <c r="AH180" i="2" s="1"/>
  <c r="AB88" i="2"/>
  <c r="AH88" i="2" s="1"/>
  <c r="AB172" i="2"/>
  <c r="AH172" i="2" s="1"/>
  <c r="AB44" i="2"/>
  <c r="AH44" i="2" s="1"/>
  <c r="AB113" i="2"/>
  <c r="AH113" i="2" s="1"/>
  <c r="AB150" i="2"/>
  <c r="AH150" i="2" s="1"/>
  <c r="AB117" i="2"/>
  <c r="AH117" i="2" s="1"/>
  <c r="AB100" i="2"/>
  <c r="AH100" i="2" s="1"/>
  <c r="AB119" i="2"/>
  <c r="AH119" i="2" s="1"/>
  <c r="AB190" i="2"/>
  <c r="AH190" i="2" s="1"/>
  <c r="AB126" i="2"/>
  <c r="AH126" i="2" s="1"/>
  <c r="AB62" i="2"/>
  <c r="AH62" i="2" s="1"/>
  <c r="AB91" i="2"/>
  <c r="AH91" i="2" s="1"/>
  <c r="AB157" i="2"/>
  <c r="AH157" i="2" s="1"/>
  <c r="AB93" i="2"/>
  <c r="AH93" i="2" s="1"/>
  <c r="AB29" i="2"/>
  <c r="AH29" i="2" s="1"/>
  <c r="AB27" i="2"/>
  <c r="AH27" i="2" s="1"/>
  <c r="AB140" i="2"/>
  <c r="AH140" i="2" s="1"/>
  <c r="AB76" i="2"/>
  <c r="AH76" i="2" s="1"/>
  <c r="AB163" i="2"/>
  <c r="AH163" i="2" s="1"/>
  <c r="AB176" i="2"/>
  <c r="AH176" i="2" s="1"/>
  <c r="AB112" i="2"/>
  <c r="AH112" i="2" s="1"/>
  <c r="AB48" i="2"/>
  <c r="AH48" i="2" s="1"/>
  <c r="AB159" i="2"/>
  <c r="AH159" i="2" s="1"/>
  <c r="AB95" i="2"/>
  <c r="AH95" i="2" s="1"/>
  <c r="AB162" i="2"/>
  <c r="AH162" i="2" s="1"/>
  <c r="AB39" i="2"/>
  <c r="AH39" i="2" s="1"/>
  <c r="AB58" i="2"/>
  <c r="AH58" i="2" s="1"/>
  <c r="AB50" i="2"/>
  <c r="AH50" i="2" s="1"/>
  <c r="AB74" i="2"/>
  <c r="AH74" i="2" s="1"/>
  <c r="AB193" i="2"/>
  <c r="AH193" i="2" s="1"/>
  <c r="AB174" i="2"/>
  <c r="AH174" i="2" s="1"/>
  <c r="AB46" i="2"/>
  <c r="AH46" i="2" s="1"/>
  <c r="AB43" i="2"/>
  <c r="AH43" i="2" s="1"/>
  <c r="AB60" i="2"/>
  <c r="AH60" i="2" s="1"/>
  <c r="AB96" i="2"/>
  <c r="AH96" i="2" s="1"/>
  <c r="AB32" i="2"/>
  <c r="AH32" i="2" s="1"/>
  <c r="AB129" i="2"/>
  <c r="AH129" i="2" s="1"/>
  <c r="AB121" i="2"/>
  <c r="AH121" i="2" s="1"/>
  <c r="AB147" i="2"/>
  <c r="AH147" i="2" s="1"/>
  <c r="AB83" i="2"/>
  <c r="AH83" i="2" s="1"/>
  <c r="AB71" i="2"/>
  <c r="AH71" i="2" s="1"/>
  <c r="AB189" i="2"/>
  <c r="AH189" i="2" s="1"/>
  <c r="AB191" i="2"/>
  <c r="AH191" i="2" s="1"/>
  <c r="AB63" i="2"/>
  <c r="AH63" i="2" s="1"/>
  <c r="AB34" i="2"/>
  <c r="AH34" i="2" s="1"/>
  <c r="AB26" i="2"/>
  <c r="AH26" i="2" s="1"/>
  <c r="AB181" i="2"/>
  <c r="AH181" i="2" s="1"/>
  <c r="AB99" i="2"/>
  <c r="AH99" i="2" s="1"/>
  <c r="AB36" i="2"/>
  <c r="AH36" i="2" s="1"/>
  <c r="AB35" i="2"/>
  <c r="AH35" i="2" s="1"/>
  <c r="AB186" i="2"/>
  <c r="AH186" i="2" s="1"/>
  <c r="AB182" i="2"/>
  <c r="AH182" i="2" s="1"/>
  <c r="AB118" i="2"/>
  <c r="AH118" i="2" s="1"/>
  <c r="AB54" i="2"/>
  <c r="AH54" i="2" s="1"/>
  <c r="AB67" i="2"/>
  <c r="AH67" i="2" s="1"/>
  <c r="AB149" i="2"/>
  <c r="AH149" i="2" s="1"/>
  <c r="AB85" i="2"/>
  <c r="AH85" i="2" s="1"/>
  <c r="AB195" i="2"/>
  <c r="AH195" i="2" s="1"/>
  <c r="AB196" i="2"/>
  <c r="AH196" i="2" s="1"/>
  <c r="AB132" i="2"/>
  <c r="AH132" i="2" s="1"/>
  <c r="AB68" i="2"/>
  <c r="AH68" i="2" s="1"/>
  <c r="AB131" i="2"/>
  <c r="AH131" i="2" s="1"/>
  <c r="AB168" i="2"/>
  <c r="AH168" i="2" s="1"/>
  <c r="AB104" i="2"/>
  <c r="AH104" i="2" s="1"/>
  <c r="AB40" i="2"/>
  <c r="AH40" i="2" s="1"/>
  <c r="AB151" i="2"/>
  <c r="AH151" i="2" s="1"/>
  <c r="AB87" i="2"/>
  <c r="AH87" i="2" s="1"/>
  <c r="AB130" i="2"/>
  <c r="AH130" i="2" s="1"/>
  <c r="AB57" i="2"/>
  <c r="AH57" i="2" s="1"/>
  <c r="AB161" i="2"/>
  <c r="AH161" i="2" s="1"/>
  <c r="AB42" i="2"/>
  <c r="AH42" i="2" s="1"/>
  <c r="AB169" i="2"/>
  <c r="AH169" i="2" s="1"/>
  <c r="AB153" i="2"/>
  <c r="AH153" i="2" s="1"/>
  <c r="AF23" i="2"/>
  <c r="AI23" i="2" s="1"/>
  <c r="AP25" i="2"/>
  <c r="AQ25" i="2" s="1"/>
  <c r="AS25" i="2" s="1"/>
  <c r="AK107" i="2"/>
  <c r="AM107" i="2" s="1"/>
  <c r="AK56" i="2"/>
  <c r="AM56" i="2" s="1"/>
  <c r="AK25" i="2"/>
  <c r="AM25" i="2" s="1"/>
  <c r="AB25" i="2"/>
  <c r="AH25" i="2" s="1"/>
  <c r="AK26" i="2"/>
  <c r="AM26" i="2" s="1"/>
  <c r="AB30" i="2"/>
  <c r="AH30" i="2" s="1"/>
  <c r="AK28" i="2"/>
  <c r="AM28" i="2" s="1"/>
  <c r="AK92" i="2"/>
  <c r="AM92" i="2" s="1"/>
  <c r="AK156" i="2"/>
  <c r="AM156" i="2" s="1"/>
  <c r="AK184" i="2"/>
  <c r="AM184" i="2" s="1"/>
  <c r="AK69" i="2"/>
  <c r="AM69" i="2" s="1"/>
  <c r="AK133" i="2"/>
  <c r="AM133" i="2" s="1"/>
  <c r="AK46" i="2"/>
  <c r="AM46" i="2" s="1"/>
  <c r="AK110" i="2"/>
  <c r="AM110" i="2" s="1"/>
  <c r="AK174" i="2"/>
  <c r="AM174" i="2" s="1"/>
  <c r="AK143" i="2"/>
  <c r="AM143" i="2" s="1"/>
  <c r="AK39" i="2"/>
  <c r="AM39" i="2" s="1"/>
  <c r="AK151" i="2"/>
  <c r="AM151" i="2" s="1"/>
  <c r="AK64" i="2"/>
  <c r="AM64" i="2" s="1"/>
  <c r="AK138" i="2"/>
  <c r="AM138" i="2" s="1"/>
  <c r="AK81" i="2"/>
  <c r="AM81" i="2" s="1"/>
  <c r="AK42" i="2"/>
  <c r="AM42" i="2" s="1"/>
  <c r="AK106" i="2"/>
  <c r="AM106" i="2" s="1"/>
  <c r="AK51" i="2"/>
  <c r="AM51" i="2" s="1"/>
  <c r="AK115" i="2"/>
  <c r="AM115" i="2" s="1"/>
  <c r="AK179" i="2"/>
  <c r="AM179" i="2" s="1"/>
  <c r="AK36" i="2"/>
  <c r="AM36" i="2" s="1"/>
  <c r="AK100" i="2"/>
  <c r="AM100" i="2" s="1"/>
  <c r="AK164" i="2"/>
  <c r="AM164" i="2" s="1"/>
  <c r="AK121" i="2"/>
  <c r="AM121" i="2" s="1"/>
  <c r="AK77" i="2"/>
  <c r="AM77" i="2" s="1"/>
  <c r="AK141" i="2"/>
  <c r="AM141" i="2" s="1"/>
  <c r="AK175" i="2"/>
  <c r="AM175" i="2" s="1"/>
  <c r="AK54" i="2"/>
  <c r="AM54" i="2" s="1"/>
  <c r="AK118" i="2"/>
  <c r="AM118" i="2" s="1"/>
  <c r="AK182" i="2"/>
  <c r="AM182" i="2" s="1"/>
  <c r="AK167" i="2"/>
  <c r="AM167" i="2" s="1"/>
  <c r="AK47" i="2"/>
  <c r="AM47" i="2" s="1"/>
  <c r="AK152" i="2"/>
  <c r="AM152" i="2" s="1"/>
  <c r="AK72" i="2"/>
  <c r="AM72" i="2" s="1"/>
  <c r="AK89" i="2"/>
  <c r="AM89" i="2" s="1"/>
  <c r="AK50" i="2"/>
  <c r="AM50" i="2" s="1"/>
  <c r="AK114" i="2"/>
  <c r="AM114" i="2" s="1"/>
  <c r="AK59" i="2"/>
  <c r="AM59" i="2" s="1"/>
  <c r="AK123" i="2"/>
  <c r="AM123" i="2" s="1"/>
  <c r="AK187" i="2"/>
  <c r="AM187" i="2" s="1"/>
  <c r="AK153" i="2"/>
  <c r="AM153" i="2" s="1"/>
  <c r="AK44" i="2"/>
  <c r="AM44" i="2" s="1"/>
  <c r="AK108" i="2"/>
  <c r="AM108" i="2" s="1"/>
  <c r="AK172" i="2"/>
  <c r="AM172" i="2" s="1"/>
  <c r="AK146" i="2"/>
  <c r="AM146" i="2" s="1"/>
  <c r="AK85" i="2"/>
  <c r="AM85" i="2" s="1"/>
  <c r="AK149" i="2"/>
  <c r="AM149" i="2" s="1"/>
  <c r="AK136" i="2"/>
  <c r="AM136" i="2" s="1"/>
  <c r="AK62" i="2"/>
  <c r="AM62" i="2" s="1"/>
  <c r="AK126" i="2"/>
  <c r="AM126" i="2" s="1"/>
  <c r="AK190" i="2"/>
  <c r="AM190" i="2" s="1"/>
  <c r="AK191" i="2"/>
  <c r="AM191" i="2" s="1"/>
  <c r="AK55" i="2"/>
  <c r="AM55" i="2" s="1"/>
  <c r="AK178" i="2"/>
  <c r="AM178" i="2" s="1"/>
  <c r="AK80" i="2"/>
  <c r="AM80" i="2" s="1"/>
  <c r="AK33" i="2"/>
  <c r="AM33" i="2" s="1"/>
  <c r="AK97" i="2"/>
  <c r="AM97" i="2" s="1"/>
  <c r="AK58" i="2"/>
  <c r="AM58" i="2" s="1"/>
  <c r="AK122" i="2"/>
  <c r="AM122" i="2" s="1"/>
  <c r="AK67" i="2"/>
  <c r="AM67" i="2" s="1"/>
  <c r="AK131" i="2"/>
  <c r="AM131" i="2" s="1"/>
  <c r="AK195" i="2"/>
  <c r="AM195" i="2" s="1"/>
  <c r="AK161" i="2"/>
  <c r="AM161" i="2" s="1"/>
  <c r="AK52" i="2"/>
  <c r="AM52" i="2" s="1"/>
  <c r="AK116" i="2"/>
  <c r="AM116" i="2" s="1"/>
  <c r="AK180" i="2"/>
  <c r="AM180" i="2" s="1"/>
  <c r="AK29" i="2"/>
  <c r="AM29" i="2" s="1"/>
  <c r="AK93" i="2"/>
  <c r="AM93" i="2" s="1"/>
  <c r="AK157" i="2"/>
  <c r="AM157" i="2" s="1"/>
  <c r="AK168" i="2"/>
  <c r="AM168" i="2" s="1"/>
  <c r="AK70" i="2"/>
  <c r="AM70" i="2" s="1"/>
  <c r="AK134" i="2"/>
  <c r="AM134" i="2" s="1"/>
  <c r="AK87" i="2"/>
  <c r="AM87" i="2" s="1"/>
  <c r="AK128" i="2"/>
  <c r="AM128" i="2" s="1"/>
  <c r="AK63" i="2"/>
  <c r="AM63" i="2" s="1"/>
  <c r="AK88" i="2"/>
  <c r="AM88" i="2" s="1"/>
  <c r="AK41" i="2"/>
  <c r="AM41" i="2" s="1"/>
  <c r="AK105" i="2"/>
  <c r="AM105" i="2" s="1"/>
  <c r="AK66" i="2"/>
  <c r="AM66" i="2" s="1"/>
  <c r="AK130" i="2"/>
  <c r="AM130" i="2" s="1"/>
  <c r="AK75" i="2"/>
  <c r="AM75" i="2" s="1"/>
  <c r="AK139" i="2"/>
  <c r="AM139" i="2" s="1"/>
  <c r="AK183" i="2"/>
  <c r="AM183" i="2" s="1"/>
  <c r="AK169" i="2"/>
  <c r="AM169" i="2" s="1"/>
  <c r="AK60" i="2"/>
  <c r="AM60" i="2" s="1"/>
  <c r="AK124" i="2"/>
  <c r="AM124" i="2" s="1"/>
  <c r="AK188" i="2"/>
  <c r="AM188" i="2" s="1"/>
  <c r="AK37" i="2"/>
  <c r="AM37" i="2" s="1"/>
  <c r="AK101" i="2"/>
  <c r="AM101" i="2" s="1"/>
  <c r="AK165" i="2"/>
  <c r="AM165" i="2" s="1"/>
  <c r="AK129" i="2"/>
  <c r="AM129" i="2" s="1"/>
  <c r="AK78" i="2"/>
  <c r="AM78" i="2" s="1"/>
  <c r="AK142" i="2"/>
  <c r="AM142" i="2" s="1"/>
  <c r="AK103" i="2"/>
  <c r="AM103" i="2" s="1"/>
  <c r="AK192" i="2"/>
  <c r="AM192" i="2" s="1"/>
  <c r="AK71" i="2"/>
  <c r="AM71" i="2" s="1"/>
  <c r="AK32" i="2"/>
  <c r="AM32" i="2" s="1"/>
  <c r="AK96" i="2"/>
  <c r="AM96" i="2" s="1"/>
  <c r="AK49" i="2"/>
  <c r="AM49" i="2" s="1"/>
  <c r="AK113" i="2"/>
  <c r="AM113" i="2" s="1"/>
  <c r="AK74" i="2"/>
  <c r="AM74" i="2" s="1"/>
  <c r="AK194" i="2"/>
  <c r="AM194" i="2" s="1"/>
  <c r="AK83" i="2"/>
  <c r="AM83" i="2" s="1"/>
  <c r="AK147" i="2"/>
  <c r="AM147" i="2" s="1"/>
  <c r="AK120" i="2"/>
  <c r="AM120" i="2" s="1"/>
  <c r="AK177" i="2"/>
  <c r="AM177" i="2" s="1"/>
  <c r="AK68" i="2"/>
  <c r="AM68" i="2" s="1"/>
  <c r="AK132" i="2"/>
  <c r="AM132" i="2" s="1"/>
  <c r="AK196" i="2"/>
  <c r="AM196" i="2" s="1"/>
  <c r="AK45" i="2"/>
  <c r="AM45" i="2" s="1"/>
  <c r="AK109" i="2"/>
  <c r="AM109" i="2" s="1"/>
  <c r="AK173" i="2"/>
  <c r="AM173" i="2" s="1"/>
  <c r="AK170" i="2"/>
  <c r="AM170" i="2" s="1"/>
  <c r="AK86" i="2"/>
  <c r="AM86" i="2" s="1"/>
  <c r="AK150" i="2"/>
  <c r="AM150" i="2" s="1"/>
  <c r="AK111" i="2"/>
  <c r="AM111" i="2" s="1"/>
  <c r="AK145" i="2"/>
  <c r="AM145" i="2" s="1"/>
  <c r="AK79" i="2"/>
  <c r="AM79" i="2" s="1"/>
  <c r="AK40" i="2"/>
  <c r="AM40" i="2" s="1"/>
  <c r="AK104" i="2"/>
  <c r="AM104" i="2" s="1"/>
  <c r="AK57" i="2"/>
  <c r="AM57" i="2" s="1"/>
  <c r="AK186" i="2"/>
  <c r="AM186" i="2" s="1"/>
  <c r="AK82" i="2"/>
  <c r="AM82" i="2" s="1"/>
  <c r="AK27" i="2"/>
  <c r="AM27" i="2" s="1"/>
  <c r="AK91" i="2"/>
  <c r="AM91" i="2" s="1"/>
  <c r="AK155" i="2"/>
  <c r="AM155" i="2" s="1"/>
  <c r="AK176" i="2"/>
  <c r="AM176" i="2" s="1"/>
  <c r="AK185" i="2"/>
  <c r="AM185" i="2" s="1"/>
  <c r="AK76" i="2"/>
  <c r="AM76" i="2" s="1"/>
  <c r="AK140" i="2"/>
  <c r="AM140" i="2" s="1"/>
  <c r="AK159" i="2"/>
  <c r="AM159" i="2" s="1"/>
  <c r="AK53" i="2"/>
  <c r="AM53" i="2" s="1"/>
  <c r="AK117" i="2"/>
  <c r="AM117" i="2" s="1"/>
  <c r="AK181" i="2"/>
  <c r="AM181" i="2" s="1"/>
  <c r="AK30" i="2"/>
  <c r="AM30" i="2" s="1"/>
  <c r="AK94" i="2"/>
  <c r="AM94" i="2" s="1"/>
  <c r="AK158" i="2"/>
  <c r="AM158" i="2" s="1"/>
  <c r="AK127" i="2"/>
  <c r="AM127" i="2" s="1"/>
  <c r="AK162" i="2"/>
  <c r="AM162" i="2" s="1"/>
  <c r="AK95" i="2"/>
  <c r="AM95" i="2" s="1"/>
  <c r="AK48" i="2"/>
  <c r="AM48" i="2" s="1"/>
  <c r="AK112" i="2"/>
  <c r="AM112" i="2" s="1"/>
  <c r="AK65" i="2"/>
  <c r="AM65" i="2" s="1"/>
  <c r="AK90" i="2"/>
  <c r="AM90" i="2" s="1"/>
  <c r="AK35" i="2"/>
  <c r="AM35" i="2" s="1"/>
  <c r="AK99" i="2"/>
  <c r="AM99" i="2" s="1"/>
  <c r="AK163" i="2"/>
  <c r="AM163" i="2" s="1"/>
  <c r="AK137" i="2"/>
  <c r="AM137" i="2" s="1"/>
  <c r="AK193" i="2"/>
  <c r="AM193" i="2" s="1"/>
  <c r="AK84" i="2"/>
  <c r="AM84" i="2" s="1"/>
  <c r="AK148" i="2"/>
  <c r="AM148" i="2" s="1"/>
  <c r="AK144" i="2"/>
  <c r="AM144" i="2" s="1"/>
  <c r="AK61" i="2"/>
  <c r="AM61" i="2" s="1"/>
  <c r="AK125" i="2"/>
  <c r="AM125" i="2" s="1"/>
  <c r="AK189" i="2"/>
  <c r="AM189" i="2" s="1"/>
  <c r="AK38" i="2"/>
  <c r="AM38" i="2" s="1"/>
  <c r="AK102" i="2"/>
  <c r="AM102" i="2" s="1"/>
  <c r="AK166" i="2"/>
  <c r="AM166" i="2" s="1"/>
  <c r="AK135" i="2"/>
  <c r="AM135" i="2" s="1"/>
  <c r="AK31" i="2"/>
  <c r="AM31" i="2" s="1"/>
  <c r="AK119" i="2"/>
  <c r="AM119" i="2" s="1"/>
  <c r="AK160" i="2"/>
  <c r="AM160" i="2" s="1"/>
  <c r="AK73" i="2"/>
  <c r="AM73" i="2" s="1"/>
  <c r="AK34" i="2"/>
  <c r="AM34" i="2" s="1"/>
  <c r="AK98" i="2"/>
  <c r="AM98" i="2" s="1"/>
  <c r="AK43" i="2"/>
  <c r="AM43" i="2" s="1"/>
  <c r="AK171" i="2"/>
  <c r="AM171" i="2" s="1"/>
  <c r="AK154" i="2"/>
  <c r="AM154" i="2" s="1"/>
  <c r="K82" i="2"/>
  <c r="M82" i="2" s="1"/>
  <c r="K146" i="2"/>
  <c r="R146" i="2" s="1"/>
  <c r="K35" i="2"/>
  <c r="M35" i="2" s="1"/>
  <c r="K99" i="2"/>
  <c r="M99" i="2" s="1"/>
  <c r="K163" i="2"/>
  <c r="P163" i="2" s="1"/>
  <c r="Q163" i="2" s="1"/>
  <c r="K52" i="2"/>
  <c r="M52" i="2" s="1"/>
  <c r="K116" i="2"/>
  <c r="M116" i="2" s="1"/>
  <c r="K180" i="2"/>
  <c r="R180" i="2" s="1"/>
  <c r="K61" i="2"/>
  <c r="M61" i="2" s="1"/>
  <c r="K125" i="2"/>
  <c r="M125" i="2" s="1"/>
  <c r="K189" i="2"/>
  <c r="P189" i="2" s="1"/>
  <c r="Q189" i="2" s="1"/>
  <c r="K70" i="2"/>
  <c r="M70" i="2" s="1"/>
  <c r="K134" i="2"/>
  <c r="M134" i="2" s="1"/>
  <c r="K79" i="2"/>
  <c r="M79" i="2" s="1"/>
  <c r="K143" i="2"/>
  <c r="M143" i="2" s="1"/>
  <c r="K32" i="2"/>
  <c r="M32" i="2" s="1"/>
  <c r="K96" i="2"/>
  <c r="M96" i="2" s="1"/>
  <c r="K160" i="2"/>
  <c r="P160" i="2" s="1"/>
  <c r="Q160" i="2" s="1"/>
  <c r="K49" i="2"/>
  <c r="M49" i="2" s="1"/>
  <c r="K113" i="2"/>
  <c r="M113" i="2" s="1"/>
  <c r="K177" i="2"/>
  <c r="P177" i="2" s="1"/>
  <c r="Q177" i="2" s="1"/>
  <c r="K26" i="2"/>
  <c r="M26" i="2" s="1"/>
  <c r="K90" i="2"/>
  <c r="M90" i="2" s="1"/>
  <c r="K154" i="2"/>
  <c r="P154" i="2" s="1"/>
  <c r="Q154" i="2" s="1"/>
  <c r="K43" i="2"/>
  <c r="M43" i="2" s="1"/>
  <c r="K107" i="2"/>
  <c r="M107" i="2" s="1"/>
  <c r="K171" i="2"/>
  <c r="P171" i="2" s="1"/>
  <c r="Q171" i="2" s="1"/>
  <c r="K60" i="2"/>
  <c r="M60" i="2" s="1"/>
  <c r="K124" i="2"/>
  <c r="M124" i="2" s="1"/>
  <c r="K188" i="2"/>
  <c r="P188" i="2" s="1"/>
  <c r="Q188" i="2" s="1"/>
  <c r="K69" i="2"/>
  <c r="M69" i="2" s="1"/>
  <c r="K133" i="2"/>
  <c r="M133" i="2" s="1"/>
  <c r="K78" i="2"/>
  <c r="M78" i="2" s="1"/>
  <c r="K142" i="2"/>
  <c r="M142" i="2" s="1"/>
  <c r="K23" i="2"/>
  <c r="M23" i="2" s="1"/>
  <c r="K87" i="2"/>
  <c r="M87" i="2" s="1"/>
  <c r="K151" i="2"/>
  <c r="P151" i="2" s="1"/>
  <c r="Q151" i="2" s="1"/>
  <c r="K40" i="2"/>
  <c r="M40" i="2" s="1"/>
  <c r="K104" i="2"/>
  <c r="M104" i="2" s="1"/>
  <c r="K168" i="2"/>
  <c r="P168" i="2" s="1"/>
  <c r="Q168" i="2" s="1"/>
  <c r="K57" i="2"/>
  <c r="M57" i="2" s="1"/>
  <c r="K121" i="2"/>
  <c r="M121" i="2" s="1"/>
  <c r="K185" i="2"/>
  <c r="R185" i="2" s="1"/>
  <c r="K34" i="2"/>
  <c r="M34" i="2" s="1"/>
  <c r="K98" i="2"/>
  <c r="M98" i="2" s="1"/>
  <c r="K162" i="2"/>
  <c r="P162" i="2" s="1"/>
  <c r="Q162" i="2" s="1"/>
  <c r="K51" i="2"/>
  <c r="M51" i="2" s="1"/>
  <c r="K115" i="2"/>
  <c r="M115" i="2" s="1"/>
  <c r="K179" i="2"/>
  <c r="P179" i="2" s="1"/>
  <c r="Q179" i="2" s="1"/>
  <c r="K68" i="2"/>
  <c r="M68" i="2" s="1"/>
  <c r="K132" i="2"/>
  <c r="M132" i="2" s="1"/>
  <c r="K196" i="2"/>
  <c r="P196" i="2" s="1"/>
  <c r="Q196" i="2" s="1"/>
  <c r="K77" i="2"/>
  <c r="M77" i="2" s="1"/>
  <c r="K141" i="2"/>
  <c r="M141" i="2" s="1"/>
  <c r="K22" i="2"/>
  <c r="M22" i="2" s="1"/>
  <c r="K86" i="2"/>
  <c r="M86" i="2" s="1"/>
  <c r="K150" i="2"/>
  <c r="P150" i="2" s="1"/>
  <c r="Q150" i="2" s="1"/>
  <c r="K31" i="2"/>
  <c r="M31" i="2" s="1"/>
  <c r="K95" i="2"/>
  <c r="M95" i="2" s="1"/>
  <c r="K159" i="2"/>
  <c r="P159" i="2" s="1"/>
  <c r="Q159" i="2" s="1"/>
  <c r="K48" i="2"/>
  <c r="M48" i="2" s="1"/>
  <c r="K112" i="2"/>
  <c r="M112" i="2" s="1"/>
  <c r="K176" i="2"/>
  <c r="R176" i="2" s="1"/>
  <c r="K65" i="2"/>
  <c r="M65" i="2" s="1"/>
  <c r="K129" i="2"/>
  <c r="M129" i="2" s="1"/>
  <c r="K193" i="2"/>
  <c r="R193" i="2" s="1"/>
  <c r="K42" i="2"/>
  <c r="M42" i="2" s="1"/>
  <c r="K106" i="2"/>
  <c r="M106" i="2" s="1"/>
  <c r="K170" i="2"/>
  <c r="P170" i="2" s="1"/>
  <c r="Q170" i="2" s="1"/>
  <c r="K59" i="2"/>
  <c r="M59" i="2" s="1"/>
  <c r="K123" i="2"/>
  <c r="M123" i="2" s="1"/>
  <c r="K187" i="2"/>
  <c r="P187" i="2" s="1"/>
  <c r="Q187" i="2" s="1"/>
  <c r="K76" i="2"/>
  <c r="M76" i="2" s="1"/>
  <c r="K140" i="2"/>
  <c r="M140" i="2" s="1"/>
  <c r="K21" i="2"/>
  <c r="K85" i="2"/>
  <c r="M85" i="2" s="1"/>
  <c r="K149" i="2"/>
  <c r="P149" i="2" s="1"/>
  <c r="Q149" i="2" s="1"/>
  <c r="K30" i="2"/>
  <c r="M30" i="2" s="1"/>
  <c r="K94" i="2"/>
  <c r="M94" i="2" s="1"/>
  <c r="K158" i="2"/>
  <c r="P158" i="2" s="1"/>
  <c r="Q158" i="2" s="1"/>
  <c r="K39" i="2"/>
  <c r="M39" i="2" s="1"/>
  <c r="K103" i="2"/>
  <c r="M103" i="2" s="1"/>
  <c r="K167" i="2"/>
  <c r="R167" i="2" s="1"/>
  <c r="K56" i="2"/>
  <c r="M56" i="2" s="1"/>
  <c r="K120" i="2"/>
  <c r="M120" i="2" s="1"/>
  <c r="K184" i="2"/>
  <c r="P184" i="2" s="1"/>
  <c r="Q184" i="2" s="1"/>
  <c r="K73" i="2"/>
  <c r="M73" i="2" s="1"/>
  <c r="K137" i="2"/>
  <c r="M137" i="2" s="1"/>
  <c r="K50" i="2"/>
  <c r="M50" i="2" s="1"/>
  <c r="K114" i="2"/>
  <c r="M114" i="2" s="1"/>
  <c r="K178" i="2"/>
  <c r="R178" i="2" s="1"/>
  <c r="K67" i="2"/>
  <c r="M67" i="2" s="1"/>
  <c r="K131" i="2"/>
  <c r="M131" i="2" s="1"/>
  <c r="K195" i="2"/>
  <c r="P195" i="2" s="1"/>
  <c r="Q195" i="2" s="1"/>
  <c r="K84" i="2"/>
  <c r="M84" i="2" s="1"/>
  <c r="K148" i="2"/>
  <c r="P148" i="2" s="1"/>
  <c r="Q148" i="2" s="1"/>
  <c r="K29" i="2"/>
  <c r="M29" i="2" s="1"/>
  <c r="K93" i="2"/>
  <c r="M93" i="2" s="1"/>
  <c r="K157" i="2"/>
  <c r="P157" i="2" s="1"/>
  <c r="Q157" i="2" s="1"/>
  <c r="K38" i="2"/>
  <c r="M38" i="2" s="1"/>
  <c r="K102" i="2"/>
  <c r="M102" i="2" s="1"/>
  <c r="K166" i="2"/>
  <c r="P166" i="2" s="1"/>
  <c r="Q166" i="2" s="1"/>
  <c r="K47" i="2"/>
  <c r="M47" i="2" s="1"/>
  <c r="K111" i="2"/>
  <c r="M111" i="2" s="1"/>
  <c r="K175" i="2"/>
  <c r="P175" i="2" s="1"/>
  <c r="Q175" i="2" s="1"/>
  <c r="K64" i="2"/>
  <c r="M64" i="2" s="1"/>
  <c r="K128" i="2"/>
  <c r="M128" i="2" s="1"/>
  <c r="K192" i="2"/>
  <c r="R192" i="2" s="1"/>
  <c r="K81" i="2"/>
  <c r="M81" i="2" s="1"/>
  <c r="K145" i="2"/>
  <c r="M145" i="2" s="1"/>
  <c r="K58" i="2"/>
  <c r="M58" i="2" s="1"/>
  <c r="K122" i="2"/>
  <c r="M122" i="2" s="1"/>
  <c r="K186" i="2"/>
  <c r="R186" i="2" s="1"/>
  <c r="K75" i="2"/>
  <c r="M75" i="2" s="1"/>
  <c r="K139" i="2"/>
  <c r="M139" i="2" s="1"/>
  <c r="K28" i="2"/>
  <c r="M28" i="2" s="1"/>
  <c r="K92" i="2"/>
  <c r="M92" i="2" s="1"/>
  <c r="K156" i="2"/>
  <c r="P156" i="2" s="1"/>
  <c r="Q156" i="2" s="1"/>
  <c r="K37" i="2"/>
  <c r="M37" i="2" s="1"/>
  <c r="K101" i="2"/>
  <c r="M101" i="2" s="1"/>
  <c r="K165" i="2"/>
  <c r="P165" i="2" s="1"/>
  <c r="Q165" i="2" s="1"/>
  <c r="K46" i="2"/>
  <c r="M46" i="2" s="1"/>
  <c r="K110" i="2"/>
  <c r="M110" i="2" s="1"/>
  <c r="K174" i="2"/>
  <c r="P174" i="2" s="1"/>
  <c r="Q174" i="2" s="1"/>
  <c r="K55" i="2"/>
  <c r="M55" i="2" s="1"/>
  <c r="K119" i="2"/>
  <c r="M119" i="2" s="1"/>
  <c r="K183" i="2"/>
  <c r="R183" i="2" s="1"/>
  <c r="K72" i="2"/>
  <c r="M72" i="2" s="1"/>
  <c r="K136" i="2"/>
  <c r="M136" i="2" s="1"/>
  <c r="K25" i="2"/>
  <c r="P25" i="2" s="1"/>
  <c r="K89" i="2"/>
  <c r="M89" i="2" s="1"/>
  <c r="K153" i="2"/>
  <c r="R153" i="2" s="1"/>
  <c r="I19" i="2"/>
  <c r="K66" i="2"/>
  <c r="M66" i="2" s="1"/>
  <c r="K130" i="2"/>
  <c r="M130" i="2" s="1"/>
  <c r="K194" i="2"/>
  <c r="P194" i="2" s="1"/>
  <c r="Q194" i="2" s="1"/>
  <c r="K83" i="2"/>
  <c r="M83" i="2" s="1"/>
  <c r="K147" i="2"/>
  <c r="P147" i="2" s="1"/>
  <c r="Q147" i="2" s="1"/>
  <c r="K36" i="2"/>
  <c r="M36" i="2" s="1"/>
  <c r="K100" i="2"/>
  <c r="M100" i="2" s="1"/>
  <c r="K164" i="2"/>
  <c r="P164" i="2" s="1"/>
  <c r="Q164" i="2" s="1"/>
  <c r="K45" i="2"/>
  <c r="M45" i="2" s="1"/>
  <c r="K109" i="2"/>
  <c r="M109" i="2" s="1"/>
  <c r="K173" i="2"/>
  <c r="P173" i="2" s="1"/>
  <c r="Q173" i="2" s="1"/>
  <c r="K54" i="2"/>
  <c r="M54" i="2" s="1"/>
  <c r="K118" i="2"/>
  <c r="M118" i="2" s="1"/>
  <c r="K182" i="2"/>
  <c r="P182" i="2" s="1"/>
  <c r="Q182" i="2" s="1"/>
  <c r="K63" i="2"/>
  <c r="M63" i="2" s="1"/>
  <c r="K127" i="2"/>
  <c r="M127" i="2" s="1"/>
  <c r="K191" i="2"/>
  <c r="R191" i="2" s="1"/>
  <c r="K80" i="2"/>
  <c r="M80" i="2" s="1"/>
  <c r="K144" i="2"/>
  <c r="M144" i="2" s="1"/>
  <c r="K33" i="2"/>
  <c r="M33" i="2" s="1"/>
  <c r="K97" i="2"/>
  <c r="M97" i="2" s="1"/>
  <c r="K161" i="2"/>
  <c r="R161" i="2" s="1"/>
  <c r="I18" i="2"/>
  <c r="M18" i="2" s="1"/>
  <c r="K74" i="2"/>
  <c r="M74" i="2" s="1"/>
  <c r="K138" i="2"/>
  <c r="M138" i="2" s="1"/>
  <c r="K27" i="2"/>
  <c r="M27" i="2" s="1"/>
  <c r="K91" i="2"/>
  <c r="M91" i="2" s="1"/>
  <c r="K155" i="2"/>
  <c r="R155" i="2" s="1"/>
  <c r="K44" i="2"/>
  <c r="M44" i="2" s="1"/>
  <c r="K108" i="2"/>
  <c r="M108" i="2" s="1"/>
  <c r="K172" i="2"/>
  <c r="P172" i="2" s="1"/>
  <c r="Q172" i="2" s="1"/>
  <c r="K53" i="2"/>
  <c r="M53" i="2" s="1"/>
  <c r="K117" i="2"/>
  <c r="M117" i="2" s="1"/>
  <c r="K181" i="2"/>
  <c r="P181" i="2" s="1"/>
  <c r="Q181" i="2" s="1"/>
  <c r="K62" i="2"/>
  <c r="M62" i="2" s="1"/>
  <c r="K126" i="2"/>
  <c r="M126" i="2" s="1"/>
  <c r="K190" i="2"/>
  <c r="P190" i="2" s="1"/>
  <c r="Q190" i="2" s="1"/>
  <c r="K71" i="2"/>
  <c r="M71" i="2" s="1"/>
  <c r="K135" i="2"/>
  <c r="M135" i="2" s="1"/>
  <c r="K24" i="2"/>
  <c r="M24" i="2" s="1"/>
  <c r="K88" i="2"/>
  <c r="M88" i="2" s="1"/>
  <c r="K152" i="2"/>
  <c r="R152" i="2" s="1"/>
  <c r="K41" i="2"/>
  <c r="M41" i="2" s="1"/>
  <c r="K105" i="2"/>
  <c r="M105" i="2" s="1"/>
  <c r="K169" i="2"/>
  <c r="P169" i="2" s="1"/>
  <c r="Q169" i="2" s="1"/>
  <c r="M21" i="2"/>
  <c r="R17" i="2"/>
  <c r="J198" i="2"/>
  <c r="Y198" i="2"/>
  <c r="G198" i="2"/>
  <c r="AH198" i="4" l="1"/>
  <c r="AM198" i="4"/>
  <c r="K67" i="4"/>
  <c r="M67" i="4" s="1"/>
  <c r="K40" i="4"/>
  <c r="M40" i="4" s="1"/>
  <c r="K46" i="4"/>
  <c r="M46" i="4" s="1"/>
  <c r="K114" i="4"/>
  <c r="M114" i="4" s="1"/>
  <c r="K73" i="4"/>
  <c r="M73" i="4" s="1"/>
  <c r="K88" i="4"/>
  <c r="M88" i="4" s="1"/>
  <c r="K84" i="4"/>
  <c r="M84" i="4" s="1"/>
  <c r="K27" i="4"/>
  <c r="M27" i="4" s="1"/>
  <c r="K58" i="4"/>
  <c r="M58" i="4" s="1"/>
  <c r="K97" i="4"/>
  <c r="M97" i="4" s="1"/>
  <c r="K77" i="4"/>
  <c r="M77" i="4" s="1"/>
  <c r="K117" i="4"/>
  <c r="M117" i="4" s="1"/>
  <c r="K91" i="4"/>
  <c r="M91" i="4" s="1"/>
  <c r="K74" i="4"/>
  <c r="M74" i="4" s="1"/>
  <c r="K105" i="4"/>
  <c r="M105" i="4" s="1"/>
  <c r="K137" i="4"/>
  <c r="M137" i="4" s="1"/>
  <c r="K107" i="4"/>
  <c r="M107" i="4" s="1"/>
  <c r="K136" i="4"/>
  <c r="M136" i="4" s="1"/>
  <c r="K135" i="4"/>
  <c r="M135" i="4" s="1"/>
  <c r="K173" i="4"/>
  <c r="R173" i="4" s="1"/>
  <c r="K159" i="4"/>
  <c r="R159" i="4" s="1"/>
  <c r="K174" i="4"/>
  <c r="R174" i="4" s="1"/>
  <c r="K194" i="4"/>
  <c r="P194" i="4" s="1"/>
  <c r="Q194" i="4" s="1"/>
  <c r="K180" i="4"/>
  <c r="R180" i="4" s="1"/>
  <c r="K179" i="4"/>
  <c r="R179" i="4" s="1"/>
  <c r="K51" i="4"/>
  <c r="M51" i="4" s="1"/>
  <c r="K61" i="4"/>
  <c r="M61" i="4" s="1"/>
  <c r="K18" i="4"/>
  <c r="P18" i="4" s="1"/>
  <c r="Q18" i="4" s="1"/>
  <c r="M17" i="4"/>
  <c r="P17" i="4"/>
  <c r="Q17" i="4" s="1"/>
  <c r="K130" i="4"/>
  <c r="M130" i="4" s="1"/>
  <c r="K113" i="4"/>
  <c r="M113" i="4" s="1"/>
  <c r="K31" i="4"/>
  <c r="M31" i="4" s="1"/>
  <c r="K57" i="4"/>
  <c r="M57" i="4" s="1"/>
  <c r="K106" i="4"/>
  <c r="M106" i="4" s="1"/>
  <c r="K92" i="4"/>
  <c r="M92" i="4" s="1"/>
  <c r="K75" i="4"/>
  <c r="M75" i="4" s="1"/>
  <c r="P74" i="4"/>
  <c r="Q74" i="4" s="1"/>
  <c r="K95" i="4"/>
  <c r="M95" i="4" s="1"/>
  <c r="K78" i="4"/>
  <c r="M78" i="4" s="1"/>
  <c r="K109" i="4"/>
  <c r="M109" i="4" s="1"/>
  <c r="K150" i="4"/>
  <c r="P150" i="4" s="1"/>
  <c r="Q150" i="4" s="1"/>
  <c r="K111" i="4"/>
  <c r="M111" i="4" s="1"/>
  <c r="K140" i="4"/>
  <c r="M140" i="4" s="1"/>
  <c r="K139" i="4"/>
  <c r="M139" i="4" s="1"/>
  <c r="K157" i="4"/>
  <c r="P157" i="4" s="1"/>
  <c r="Q157" i="4" s="1"/>
  <c r="K162" i="4"/>
  <c r="P162" i="4" s="1"/>
  <c r="Q162" i="4" s="1"/>
  <c r="K197" i="4"/>
  <c r="R197" i="4" s="1"/>
  <c r="K177" i="4"/>
  <c r="R177" i="4" s="1"/>
  <c r="K188" i="4"/>
  <c r="P188" i="4" s="1"/>
  <c r="Q188" i="4" s="1"/>
  <c r="K187" i="4"/>
  <c r="P187" i="4" s="1"/>
  <c r="Q187" i="4" s="1"/>
  <c r="K56" i="4"/>
  <c r="M56" i="4" s="1"/>
  <c r="K85" i="4"/>
  <c r="M85" i="4" s="1"/>
  <c r="K19" i="4"/>
  <c r="M19" i="4" s="1"/>
  <c r="K30" i="4"/>
  <c r="M30" i="4" s="1"/>
  <c r="K29" i="4"/>
  <c r="M29" i="4" s="1"/>
  <c r="K35" i="4"/>
  <c r="M35" i="4" s="1"/>
  <c r="K60" i="4"/>
  <c r="M60" i="4" s="1"/>
  <c r="K64" i="4"/>
  <c r="M64" i="4" s="1"/>
  <c r="K100" i="4"/>
  <c r="M100" i="4" s="1"/>
  <c r="K96" i="4"/>
  <c r="M96" i="4" s="1"/>
  <c r="K108" i="4"/>
  <c r="M108" i="4" s="1"/>
  <c r="K82" i="4"/>
  <c r="M82" i="4" s="1"/>
  <c r="K138" i="4"/>
  <c r="M138" i="4" s="1"/>
  <c r="K151" i="4"/>
  <c r="R151" i="4" s="1"/>
  <c r="K115" i="4"/>
  <c r="M115" i="4" s="1"/>
  <c r="K144" i="4"/>
  <c r="M144" i="4" s="1"/>
  <c r="K143" i="4"/>
  <c r="M143" i="4" s="1"/>
  <c r="K164" i="4"/>
  <c r="R164" i="4" s="1"/>
  <c r="K165" i="4"/>
  <c r="R165" i="4" s="1"/>
  <c r="R157" i="4"/>
  <c r="K158" i="4"/>
  <c r="P158" i="4" s="1"/>
  <c r="Q158" i="4" s="1"/>
  <c r="K184" i="4"/>
  <c r="R184" i="4" s="1"/>
  <c r="K192" i="4"/>
  <c r="R192" i="4" s="1"/>
  <c r="K195" i="4"/>
  <c r="R195" i="4" s="1"/>
  <c r="K104" i="4"/>
  <c r="M104" i="4" s="1"/>
  <c r="K25" i="4"/>
  <c r="M25" i="4" s="1"/>
  <c r="K23" i="4"/>
  <c r="M23" i="4" s="1"/>
  <c r="K54" i="4"/>
  <c r="M54" i="4" s="1"/>
  <c r="K33" i="4"/>
  <c r="M33" i="4" s="1"/>
  <c r="K42" i="4"/>
  <c r="M42" i="4" s="1"/>
  <c r="K65" i="4"/>
  <c r="M65" i="4" s="1"/>
  <c r="K69" i="4"/>
  <c r="M69" i="4" s="1"/>
  <c r="K81" i="4"/>
  <c r="M81" i="4" s="1"/>
  <c r="K142" i="4"/>
  <c r="M142" i="4" s="1"/>
  <c r="K110" i="4"/>
  <c r="M110" i="4" s="1"/>
  <c r="K86" i="4"/>
  <c r="M86" i="4" s="1"/>
  <c r="K122" i="4"/>
  <c r="M122" i="4" s="1"/>
  <c r="K120" i="4"/>
  <c r="M120" i="4" s="1"/>
  <c r="K121" i="4"/>
  <c r="M121" i="4" s="1"/>
  <c r="K148" i="4"/>
  <c r="P148" i="4" s="1"/>
  <c r="Q148" i="4" s="1"/>
  <c r="K146" i="4"/>
  <c r="R146" i="4" s="1"/>
  <c r="K176" i="4"/>
  <c r="R176" i="4" s="1"/>
  <c r="K170" i="4"/>
  <c r="R170" i="4" s="1"/>
  <c r="K166" i="4"/>
  <c r="P166" i="4" s="1"/>
  <c r="Q166" i="4" s="1"/>
  <c r="K186" i="4"/>
  <c r="R186" i="4" s="1"/>
  <c r="K185" i="4"/>
  <c r="R185" i="4" s="1"/>
  <c r="K133" i="4"/>
  <c r="M133" i="4" s="1"/>
  <c r="K134" i="4"/>
  <c r="M134" i="4" s="1"/>
  <c r="K90" i="4"/>
  <c r="M90" i="4" s="1"/>
  <c r="K125" i="4"/>
  <c r="M125" i="4" s="1"/>
  <c r="K129" i="4"/>
  <c r="M129" i="4" s="1"/>
  <c r="K145" i="4"/>
  <c r="M145" i="4" s="1"/>
  <c r="K119" i="4"/>
  <c r="M119" i="4" s="1"/>
  <c r="K147" i="4"/>
  <c r="R147" i="4" s="1"/>
  <c r="R148" i="4"/>
  <c r="K149" i="4"/>
  <c r="P149" i="4" s="1"/>
  <c r="Q149" i="4" s="1"/>
  <c r="K172" i="4"/>
  <c r="R172" i="4" s="1"/>
  <c r="K183" i="4"/>
  <c r="R183" i="4" s="1"/>
  <c r="K167" i="4"/>
  <c r="P167" i="4" s="1"/>
  <c r="Q167" i="4" s="1"/>
  <c r="K193" i="4"/>
  <c r="P193" i="4" s="1"/>
  <c r="Q193" i="4" s="1"/>
  <c r="AL26" i="4"/>
  <c r="K80" i="4"/>
  <c r="M80" i="4" s="1"/>
  <c r="K68" i="4"/>
  <c r="M68" i="4" s="1"/>
  <c r="P67" i="4"/>
  <c r="Q67" i="4" s="1"/>
  <c r="K41" i="4"/>
  <c r="M41" i="4" s="1"/>
  <c r="K21" i="4"/>
  <c r="M21" i="4" s="1"/>
  <c r="K50" i="4"/>
  <c r="M50" i="4" s="1"/>
  <c r="K34" i="4"/>
  <c r="M34" i="4" s="1"/>
  <c r="P33" i="4"/>
  <c r="Q33" i="4" s="1"/>
  <c r="K32" i="4"/>
  <c r="M32" i="4" s="1"/>
  <c r="P31" i="4"/>
  <c r="Q31" i="4" s="1"/>
  <c r="K38" i="4"/>
  <c r="M38" i="4" s="1"/>
  <c r="K72" i="4"/>
  <c r="M72" i="4" s="1"/>
  <c r="K44" i="4"/>
  <c r="M44" i="4" s="1"/>
  <c r="K45" i="4"/>
  <c r="M45" i="4" s="1"/>
  <c r="K62" i="4"/>
  <c r="M62" i="4" s="1"/>
  <c r="P61" i="4"/>
  <c r="Q61" i="4" s="1"/>
  <c r="K118" i="4"/>
  <c r="M118" i="4" s="1"/>
  <c r="K79" i="4"/>
  <c r="M79" i="4" s="1"/>
  <c r="K152" i="4"/>
  <c r="K94" i="4"/>
  <c r="M94" i="4" s="1"/>
  <c r="P152" i="4"/>
  <c r="Q152" i="4" s="1"/>
  <c r="R152" i="4"/>
  <c r="K153" i="4"/>
  <c r="R153" i="4" s="1"/>
  <c r="K141" i="4"/>
  <c r="M141" i="4" s="1"/>
  <c r="K124" i="4"/>
  <c r="M124" i="4" s="1"/>
  <c r="K123" i="4"/>
  <c r="M123" i="4" s="1"/>
  <c r="K155" i="4"/>
  <c r="R155" i="4" s="1"/>
  <c r="K154" i="4"/>
  <c r="P154" i="4" s="1"/>
  <c r="Q154" i="4" s="1"/>
  <c r="P195" i="4"/>
  <c r="Q195" i="4" s="1"/>
  <c r="K196" i="4"/>
  <c r="R196" i="4" s="1"/>
  <c r="K163" i="4"/>
  <c r="P163" i="4" s="1"/>
  <c r="Q163" i="4" s="1"/>
  <c r="K175" i="4"/>
  <c r="R175" i="4" s="1"/>
  <c r="K182" i="4"/>
  <c r="R182" i="4" s="1"/>
  <c r="K126" i="4"/>
  <c r="M126" i="4" s="1"/>
  <c r="K101" i="4"/>
  <c r="M101" i="4" s="1"/>
  <c r="K26" i="4"/>
  <c r="M26" i="4" s="1"/>
  <c r="K55" i="4"/>
  <c r="M55" i="4" s="1"/>
  <c r="K22" i="4"/>
  <c r="M22" i="4" s="1"/>
  <c r="K36" i="4"/>
  <c r="M36" i="4" s="1"/>
  <c r="P35" i="4"/>
  <c r="Q35" i="4" s="1"/>
  <c r="K39" i="4"/>
  <c r="M39" i="4" s="1"/>
  <c r="K20" i="4"/>
  <c r="M20" i="4" s="1"/>
  <c r="K48" i="4"/>
  <c r="M48" i="4" s="1"/>
  <c r="K49" i="4"/>
  <c r="M49" i="4" s="1"/>
  <c r="P48" i="4"/>
  <c r="Q48" i="4" s="1"/>
  <c r="K71" i="4"/>
  <c r="M71" i="4" s="1"/>
  <c r="K59" i="4"/>
  <c r="M59" i="4" s="1"/>
  <c r="K83" i="4"/>
  <c r="M83" i="4" s="1"/>
  <c r="K66" i="4"/>
  <c r="M66" i="4" s="1"/>
  <c r="K98" i="4"/>
  <c r="M98" i="4" s="1"/>
  <c r="K112" i="4"/>
  <c r="M112" i="4" s="1"/>
  <c r="K99" i="4"/>
  <c r="M99" i="4" s="1"/>
  <c r="K128" i="4"/>
  <c r="M128" i="4" s="1"/>
  <c r="K127" i="4"/>
  <c r="M127" i="4" s="1"/>
  <c r="K160" i="4"/>
  <c r="P160" i="4" s="1"/>
  <c r="Q160" i="4" s="1"/>
  <c r="K171" i="4"/>
  <c r="R171" i="4" s="1"/>
  <c r="K191" i="4"/>
  <c r="R191" i="4" s="1"/>
  <c r="K169" i="4"/>
  <c r="R169" i="4" s="1"/>
  <c r="K181" i="4"/>
  <c r="R181" i="4" s="1"/>
  <c r="P180" i="4"/>
  <c r="Q180" i="4" s="1"/>
  <c r="K190" i="4"/>
  <c r="R190" i="4" s="1"/>
  <c r="AB198" i="4"/>
  <c r="K28" i="4"/>
  <c r="M28" i="4" s="1"/>
  <c r="K93" i="4"/>
  <c r="M93" i="4" s="1"/>
  <c r="K89" i="4"/>
  <c r="M89" i="4" s="1"/>
  <c r="P88" i="4"/>
  <c r="Q88" i="4" s="1"/>
  <c r="K37" i="4"/>
  <c r="M37" i="4" s="1"/>
  <c r="K43" i="4"/>
  <c r="M43" i="4" s="1"/>
  <c r="P46" i="4"/>
  <c r="Q46" i="4" s="1"/>
  <c r="K47" i="4"/>
  <c r="M47" i="4" s="1"/>
  <c r="K24" i="4"/>
  <c r="M24" i="4" s="1"/>
  <c r="K52" i="4"/>
  <c r="M52" i="4" s="1"/>
  <c r="K53" i="4"/>
  <c r="M53" i="4" s="1"/>
  <c r="K76" i="4"/>
  <c r="M76" i="4" s="1"/>
  <c r="P75" i="4"/>
  <c r="Q75" i="4" s="1"/>
  <c r="K63" i="4"/>
  <c r="M63" i="4" s="1"/>
  <c r="K87" i="4"/>
  <c r="M87" i="4" s="1"/>
  <c r="K70" i="4"/>
  <c r="M70" i="4" s="1"/>
  <c r="K102" i="4"/>
  <c r="M102" i="4" s="1"/>
  <c r="K116" i="4"/>
  <c r="M116" i="4" s="1"/>
  <c r="K103" i="4"/>
  <c r="M103" i="4" s="1"/>
  <c r="K132" i="4"/>
  <c r="M132" i="4" s="1"/>
  <c r="K131" i="4"/>
  <c r="M131" i="4" s="1"/>
  <c r="K168" i="4"/>
  <c r="R168" i="4" s="1"/>
  <c r="K156" i="4"/>
  <c r="P156" i="4" s="1"/>
  <c r="Q156" i="4" s="1"/>
  <c r="K161" i="4"/>
  <c r="R161" i="4" s="1"/>
  <c r="K178" i="4"/>
  <c r="R178" i="4" s="1"/>
  <c r="K189" i="4"/>
  <c r="P189" i="4" s="1"/>
  <c r="Q189" i="4" s="1"/>
  <c r="AK198" i="4"/>
  <c r="AL24" i="2"/>
  <c r="AN24" i="2" s="1"/>
  <c r="AE26" i="2"/>
  <c r="AL25" i="2"/>
  <c r="AN25" i="2" s="1"/>
  <c r="AR25" i="2"/>
  <c r="AF24" i="2"/>
  <c r="AG25" i="2"/>
  <c r="AP26" i="2"/>
  <c r="AQ26" i="2" s="1"/>
  <c r="AH24" i="2"/>
  <c r="AK198" i="2"/>
  <c r="AM198" i="2"/>
  <c r="AB198" i="2"/>
  <c r="AG24" i="2"/>
  <c r="AI24" i="2"/>
  <c r="AS24" i="2"/>
  <c r="AH198" i="2"/>
  <c r="M25" i="2"/>
  <c r="R25" i="2" s="1"/>
  <c r="K20" i="2"/>
  <c r="M20" i="2" s="1"/>
  <c r="R20" i="2" s="1"/>
  <c r="K19" i="2"/>
  <c r="R64" i="2"/>
  <c r="T64" i="2"/>
  <c r="U64" i="2" s="1"/>
  <c r="R122" i="2"/>
  <c r="T122" i="2"/>
  <c r="U122" i="2" s="1"/>
  <c r="R103" i="2"/>
  <c r="T103" i="2"/>
  <c r="U103" i="2" s="1"/>
  <c r="R132" i="2"/>
  <c r="T132" i="2"/>
  <c r="U132" i="2" s="1"/>
  <c r="R112" i="2"/>
  <c r="T112" i="2"/>
  <c r="U112" i="2" s="1"/>
  <c r="R69" i="2"/>
  <c r="T69" i="2"/>
  <c r="U69" i="2" s="1"/>
  <c r="R81" i="2"/>
  <c r="T81" i="2"/>
  <c r="U81" i="2" s="1"/>
  <c r="R70" i="2"/>
  <c r="T70" i="2"/>
  <c r="U70" i="2" s="1"/>
  <c r="R107" i="2"/>
  <c r="T107" i="2"/>
  <c r="U107" i="2" s="1"/>
  <c r="R32" i="2"/>
  <c r="T32" i="2"/>
  <c r="U32" i="2" s="1"/>
  <c r="R53" i="2"/>
  <c r="T53" i="2"/>
  <c r="U53" i="2" s="1"/>
  <c r="R90" i="2"/>
  <c r="T90" i="2"/>
  <c r="U90" i="2" s="1"/>
  <c r="R36" i="2"/>
  <c r="T36" i="2"/>
  <c r="U36" i="2" s="1"/>
  <c r="R65" i="2"/>
  <c r="T65" i="2"/>
  <c r="U65" i="2" s="1"/>
  <c r="R83" i="2"/>
  <c r="T83" i="2"/>
  <c r="U83" i="2" s="1"/>
  <c r="R41" i="2"/>
  <c r="T41" i="2"/>
  <c r="U41" i="2" s="1"/>
  <c r="R39" i="2"/>
  <c r="T39" i="2"/>
  <c r="U39" i="2" s="1"/>
  <c r="R43" i="2"/>
  <c r="T43" i="2"/>
  <c r="U43" i="2" s="1"/>
  <c r="R118" i="2"/>
  <c r="T118" i="2"/>
  <c r="U118" i="2" s="1"/>
  <c r="R114" i="2"/>
  <c r="T114" i="2"/>
  <c r="U114" i="2" s="1"/>
  <c r="R106" i="2"/>
  <c r="T106" i="2"/>
  <c r="U106" i="2" s="1"/>
  <c r="R75" i="2"/>
  <c r="T75" i="2"/>
  <c r="U75" i="2" s="1"/>
  <c r="R111" i="2"/>
  <c r="T111" i="2"/>
  <c r="U111" i="2" s="1"/>
  <c r="R124" i="2"/>
  <c r="T124" i="2"/>
  <c r="U124" i="2" s="1"/>
  <c r="R125" i="2"/>
  <c r="T125" i="2"/>
  <c r="U125" i="2" s="1"/>
  <c r="R79" i="2"/>
  <c r="T79" i="2"/>
  <c r="U79" i="2" s="1"/>
  <c r="R137" i="2"/>
  <c r="T137" i="2"/>
  <c r="U137" i="2" s="1"/>
  <c r="R91" i="2"/>
  <c r="T91" i="2"/>
  <c r="U91" i="2" s="1"/>
  <c r="R80" i="2"/>
  <c r="T80" i="2"/>
  <c r="U80" i="2" s="1"/>
  <c r="R138" i="2"/>
  <c r="T138" i="2"/>
  <c r="U138" i="2" s="1"/>
  <c r="R97" i="2"/>
  <c r="T97" i="2"/>
  <c r="U97" i="2" s="1"/>
  <c r="R76" i="2"/>
  <c r="T76" i="2"/>
  <c r="U76" i="2" s="1"/>
  <c r="R86" i="2"/>
  <c r="T86" i="2"/>
  <c r="U86" i="2" s="1"/>
  <c r="R95" i="2"/>
  <c r="T95" i="2"/>
  <c r="U95" i="2" s="1"/>
  <c r="R40" i="2"/>
  <c r="T40" i="2"/>
  <c r="U40" i="2" s="1"/>
  <c r="R98" i="2"/>
  <c r="T98" i="2"/>
  <c r="U98" i="2" s="1"/>
  <c r="R44" i="2"/>
  <c r="T44" i="2"/>
  <c r="U44" i="2" s="1"/>
  <c r="R27" i="2"/>
  <c r="T27" i="2"/>
  <c r="U27" i="2" s="1"/>
  <c r="R74" i="2"/>
  <c r="T74" i="2"/>
  <c r="U74" i="2" s="1"/>
  <c r="R93" i="2"/>
  <c r="T93" i="2"/>
  <c r="U93" i="2" s="1"/>
  <c r="R59" i="2"/>
  <c r="T59" i="2"/>
  <c r="U59" i="2" s="1"/>
  <c r="R34" i="2"/>
  <c r="T34" i="2"/>
  <c r="U34" i="2" s="1"/>
  <c r="R126" i="2"/>
  <c r="T126" i="2"/>
  <c r="U126" i="2" s="1"/>
  <c r="R88" i="2"/>
  <c r="T88" i="2"/>
  <c r="U88" i="2" s="1"/>
  <c r="R109" i="2"/>
  <c r="T109" i="2"/>
  <c r="U109" i="2" s="1"/>
  <c r="R110" i="2"/>
  <c r="T110" i="2"/>
  <c r="U110" i="2" s="1"/>
  <c r="R46" i="2"/>
  <c r="T46" i="2"/>
  <c r="U46" i="2" s="1"/>
  <c r="R139" i="2"/>
  <c r="T139" i="2"/>
  <c r="U139" i="2" s="1"/>
  <c r="R58" i="2"/>
  <c r="T58" i="2"/>
  <c r="U58" i="2" s="1"/>
  <c r="R48" i="2"/>
  <c r="T48" i="2"/>
  <c r="U48" i="2" s="1"/>
  <c r="R143" i="2"/>
  <c r="T143" i="2"/>
  <c r="U143" i="2" s="1"/>
  <c r="R26" i="2"/>
  <c r="T26" i="2"/>
  <c r="U26" i="2" s="1"/>
  <c r="R144" i="2"/>
  <c r="T144" i="2"/>
  <c r="U144" i="2" s="1"/>
  <c r="R38" i="2"/>
  <c r="T38" i="2"/>
  <c r="U38" i="2" s="1"/>
  <c r="R50" i="2"/>
  <c r="T50" i="2"/>
  <c r="U50" i="2" s="1"/>
  <c r="R140" i="2"/>
  <c r="T140" i="2"/>
  <c r="U140" i="2" s="1"/>
  <c r="R104" i="2"/>
  <c r="T104" i="2"/>
  <c r="U104" i="2" s="1"/>
  <c r="R108" i="2"/>
  <c r="T108" i="2"/>
  <c r="U108" i="2" s="1"/>
  <c r="R54" i="2"/>
  <c r="T54" i="2"/>
  <c r="U54" i="2" s="1"/>
  <c r="R42" i="2"/>
  <c r="T42" i="2"/>
  <c r="U42" i="2" s="1"/>
  <c r="R101" i="2"/>
  <c r="T101" i="2"/>
  <c r="U101" i="2" s="1"/>
  <c r="R136" i="2"/>
  <c r="T136" i="2"/>
  <c r="U136" i="2" s="1"/>
  <c r="R47" i="2"/>
  <c r="T47" i="2"/>
  <c r="U47" i="2" s="1"/>
  <c r="R123" i="2"/>
  <c r="T123" i="2"/>
  <c r="U123" i="2" s="1"/>
  <c r="R60" i="2"/>
  <c r="T60" i="2"/>
  <c r="U60" i="2" s="1"/>
  <c r="R61" i="2"/>
  <c r="T61" i="2"/>
  <c r="U61" i="2" s="1"/>
  <c r="R89" i="2"/>
  <c r="T89" i="2"/>
  <c r="U89" i="2" s="1"/>
  <c r="R37" i="2"/>
  <c r="T37" i="2"/>
  <c r="U37" i="2" s="1"/>
  <c r="R72" i="2"/>
  <c r="T72" i="2"/>
  <c r="U72" i="2" s="1"/>
  <c r="R130" i="2"/>
  <c r="T130" i="2"/>
  <c r="U130" i="2" s="1"/>
  <c r="R22" i="2"/>
  <c r="T22" i="2"/>
  <c r="U22" i="2" s="1"/>
  <c r="R31" i="2"/>
  <c r="T31" i="2"/>
  <c r="U31" i="2" s="1"/>
  <c r="R127" i="2"/>
  <c r="T127" i="2"/>
  <c r="U127" i="2" s="1"/>
  <c r="R29" i="2"/>
  <c r="T29" i="2"/>
  <c r="U29" i="2" s="1"/>
  <c r="R66" i="2"/>
  <c r="T66" i="2"/>
  <c r="U66" i="2" s="1"/>
  <c r="R73" i="2"/>
  <c r="T73" i="2"/>
  <c r="U73" i="2" s="1"/>
  <c r="R94" i="2"/>
  <c r="T94" i="2"/>
  <c r="U94" i="2" s="1"/>
  <c r="R131" i="2"/>
  <c r="T131" i="2"/>
  <c r="U131" i="2" s="1"/>
  <c r="R120" i="2"/>
  <c r="T120" i="2"/>
  <c r="U120" i="2" s="1"/>
  <c r="R141" i="2"/>
  <c r="T141" i="2"/>
  <c r="U141" i="2" s="1"/>
  <c r="R142" i="2"/>
  <c r="T142" i="2"/>
  <c r="U142" i="2" s="1"/>
  <c r="R115" i="2"/>
  <c r="T115" i="2"/>
  <c r="U115" i="2" s="1"/>
  <c r="R87" i="2"/>
  <c r="T87" i="2"/>
  <c r="U87" i="2" s="1"/>
  <c r="R116" i="2"/>
  <c r="T116" i="2"/>
  <c r="U116" i="2" s="1"/>
  <c r="R145" i="2"/>
  <c r="T145" i="2"/>
  <c r="U145" i="2" s="1"/>
  <c r="R62" i="2"/>
  <c r="T62" i="2"/>
  <c r="U62" i="2" s="1"/>
  <c r="R99" i="2"/>
  <c r="T99" i="2"/>
  <c r="U99" i="2" s="1"/>
  <c r="R24" i="2"/>
  <c r="T24" i="2"/>
  <c r="U24" i="2" s="1"/>
  <c r="R45" i="2"/>
  <c r="T45" i="2"/>
  <c r="U45" i="2" s="1"/>
  <c r="R82" i="2"/>
  <c r="T82" i="2"/>
  <c r="U82" i="2" s="1"/>
  <c r="R18" i="2"/>
  <c r="T18" i="2"/>
  <c r="U18" i="2" s="1"/>
  <c r="V18" i="2" s="1"/>
  <c r="R49" i="2"/>
  <c r="T49" i="2"/>
  <c r="U49" i="2" s="1"/>
  <c r="R33" i="2"/>
  <c r="T33" i="2"/>
  <c r="U33" i="2" s="1"/>
  <c r="R68" i="2"/>
  <c r="T68" i="2"/>
  <c r="U68" i="2" s="1"/>
  <c r="R63" i="2"/>
  <c r="T63" i="2"/>
  <c r="U63" i="2" s="1"/>
  <c r="R92" i="2"/>
  <c r="T92" i="2"/>
  <c r="U92" i="2" s="1"/>
  <c r="R121" i="2"/>
  <c r="T121" i="2"/>
  <c r="U121" i="2" s="1"/>
  <c r="R119" i="2"/>
  <c r="T119" i="2"/>
  <c r="U119" i="2" s="1"/>
  <c r="R30" i="2"/>
  <c r="T30" i="2"/>
  <c r="U30" i="2" s="1"/>
  <c r="R67" i="2"/>
  <c r="T67" i="2"/>
  <c r="U67" i="2" s="1"/>
  <c r="R56" i="2"/>
  <c r="T56" i="2"/>
  <c r="U56" i="2" s="1"/>
  <c r="R77" i="2"/>
  <c r="T77" i="2"/>
  <c r="U77" i="2" s="1"/>
  <c r="R78" i="2"/>
  <c r="T78" i="2"/>
  <c r="U78" i="2" s="1"/>
  <c r="R51" i="2"/>
  <c r="T51" i="2"/>
  <c r="U51" i="2" s="1"/>
  <c r="R23" i="2"/>
  <c r="T23" i="2"/>
  <c r="U23" i="2" s="1"/>
  <c r="R52" i="2"/>
  <c r="T52" i="2"/>
  <c r="U52" i="2" s="1"/>
  <c r="R35" i="2"/>
  <c r="T35" i="2"/>
  <c r="U35" i="2" s="1"/>
  <c r="R135" i="2"/>
  <c r="T135" i="2"/>
  <c r="U135" i="2" s="1"/>
  <c r="R105" i="2"/>
  <c r="T105" i="2"/>
  <c r="U105" i="2" s="1"/>
  <c r="R85" i="2"/>
  <c r="T85" i="2"/>
  <c r="U85" i="2" s="1"/>
  <c r="R102" i="2"/>
  <c r="T102" i="2"/>
  <c r="U102" i="2" s="1"/>
  <c r="R21" i="2"/>
  <c r="T21" i="2"/>
  <c r="U21" i="2" s="1"/>
  <c r="R28" i="2"/>
  <c r="T28" i="2"/>
  <c r="U28" i="2" s="1"/>
  <c r="R57" i="2"/>
  <c r="T57" i="2"/>
  <c r="U57" i="2" s="1"/>
  <c r="R55" i="2"/>
  <c r="T55" i="2"/>
  <c r="U55" i="2" s="1"/>
  <c r="R84" i="2"/>
  <c r="T84" i="2"/>
  <c r="U84" i="2" s="1"/>
  <c r="R113" i="2"/>
  <c r="T113" i="2"/>
  <c r="U113" i="2" s="1"/>
  <c r="R128" i="2"/>
  <c r="T128" i="2"/>
  <c r="U128" i="2" s="1"/>
  <c r="R133" i="2"/>
  <c r="T133" i="2"/>
  <c r="U133" i="2" s="1"/>
  <c r="R134" i="2"/>
  <c r="T134" i="2"/>
  <c r="U134" i="2" s="1"/>
  <c r="R96" i="2"/>
  <c r="T96" i="2"/>
  <c r="U96" i="2" s="1"/>
  <c r="R117" i="2"/>
  <c r="T117" i="2"/>
  <c r="U117" i="2" s="1"/>
  <c r="R71" i="2"/>
  <c r="T71" i="2"/>
  <c r="U71" i="2" s="1"/>
  <c r="R100" i="2"/>
  <c r="T100" i="2"/>
  <c r="U100" i="2" s="1"/>
  <c r="R129" i="2"/>
  <c r="T129" i="2"/>
  <c r="U129" i="2" s="1"/>
  <c r="R169" i="2"/>
  <c r="R170" i="2"/>
  <c r="R162" i="2"/>
  <c r="R156" i="2"/>
  <c r="R174" i="2"/>
  <c r="R147" i="2"/>
  <c r="R165" i="2"/>
  <c r="R160" i="2"/>
  <c r="R182" i="2"/>
  <c r="R175" i="2"/>
  <c r="R184" i="2"/>
  <c r="R168" i="2"/>
  <c r="R190" i="2"/>
  <c r="R173" i="2"/>
  <c r="R166" i="2"/>
  <c r="R158" i="2"/>
  <c r="R159" i="2"/>
  <c r="R151" i="2"/>
  <c r="R181" i="2"/>
  <c r="R164" i="2"/>
  <c r="R157" i="2"/>
  <c r="R149" i="2"/>
  <c r="R150" i="2"/>
  <c r="R189" i="2"/>
  <c r="R172" i="2"/>
  <c r="R148" i="2"/>
  <c r="R195" i="2"/>
  <c r="R196" i="2"/>
  <c r="R188" i="2"/>
  <c r="R163" i="2"/>
  <c r="R194" i="2"/>
  <c r="R187" i="2"/>
  <c r="R179" i="2"/>
  <c r="R171" i="2"/>
  <c r="R154" i="2"/>
  <c r="R177" i="2"/>
  <c r="P153" i="2"/>
  <c r="Q153" i="2" s="1"/>
  <c r="P186" i="2"/>
  <c r="Q186" i="2" s="1"/>
  <c r="P111" i="2"/>
  <c r="Q111" i="2" s="1"/>
  <c r="P76" i="2"/>
  <c r="Q76" i="2" s="1"/>
  <c r="P39" i="2"/>
  <c r="Q39" i="2" s="1"/>
  <c r="P59" i="2"/>
  <c r="Q59" i="2" s="1"/>
  <c r="P137" i="2"/>
  <c r="Q137" i="2" s="1"/>
  <c r="P78" i="2"/>
  <c r="Q78" i="2" s="1"/>
  <c r="P115" i="2"/>
  <c r="Q115" i="2" s="1"/>
  <c r="P104" i="2"/>
  <c r="Q104" i="2" s="1"/>
  <c r="P125" i="2"/>
  <c r="Q125" i="2" s="1"/>
  <c r="P96" i="2"/>
  <c r="Q96" i="2" s="1"/>
  <c r="P53" i="2"/>
  <c r="Q53" i="2" s="1"/>
  <c r="P57" i="2"/>
  <c r="Q57" i="2" s="1"/>
  <c r="P146" i="2"/>
  <c r="Q146" i="2" s="1"/>
  <c r="P110" i="2"/>
  <c r="Q110" i="2" s="1"/>
  <c r="P102" i="2"/>
  <c r="Q102" i="2" s="1"/>
  <c r="P75" i="2"/>
  <c r="Q75" i="2" s="1"/>
  <c r="P161" i="2"/>
  <c r="Q161" i="2" s="1"/>
  <c r="P47" i="2"/>
  <c r="Q47" i="2" s="1"/>
  <c r="P131" i="2"/>
  <c r="Q131" i="2" s="1"/>
  <c r="P81" i="2"/>
  <c r="Q81" i="2" s="1"/>
  <c r="P86" i="2"/>
  <c r="Q86" i="2" s="1"/>
  <c r="P114" i="2"/>
  <c r="Q114" i="2" s="1"/>
  <c r="P176" i="2"/>
  <c r="Q176" i="2" s="1"/>
  <c r="P51" i="2"/>
  <c r="Q51" i="2" s="1"/>
  <c r="P40" i="2"/>
  <c r="Q40" i="2" s="1"/>
  <c r="P61" i="2"/>
  <c r="Q61" i="2" s="1"/>
  <c r="P32" i="2"/>
  <c r="Q32" i="2" s="1"/>
  <c r="P152" i="2"/>
  <c r="Q152" i="2" s="1"/>
  <c r="P109" i="2"/>
  <c r="Q109" i="2" s="1"/>
  <c r="P82" i="2"/>
  <c r="Q82" i="2" s="1"/>
  <c r="P46" i="2"/>
  <c r="Q46" i="2" s="1"/>
  <c r="P138" i="2"/>
  <c r="Q138" i="2" s="1"/>
  <c r="P38" i="2"/>
  <c r="Q38" i="2" s="1"/>
  <c r="P130" i="2"/>
  <c r="Q130" i="2" s="1"/>
  <c r="P155" i="2"/>
  <c r="Q155" i="2" s="1"/>
  <c r="P193" i="2"/>
  <c r="Q193" i="2" s="1"/>
  <c r="P94" i="2"/>
  <c r="Q94" i="2" s="1"/>
  <c r="P67" i="2"/>
  <c r="Q67" i="2" s="1"/>
  <c r="P26" i="2"/>
  <c r="Q26" i="2" s="1"/>
  <c r="P22" i="2"/>
  <c r="Q22" i="2" s="1"/>
  <c r="P50" i="2"/>
  <c r="Q50" i="2" s="1"/>
  <c r="P112" i="2"/>
  <c r="Q112" i="2" s="1"/>
  <c r="P133" i="2"/>
  <c r="Q133" i="2" s="1"/>
  <c r="P180" i="2"/>
  <c r="Q180" i="2" s="1"/>
  <c r="P143" i="2"/>
  <c r="Q143" i="2" s="1"/>
  <c r="P108" i="2"/>
  <c r="Q108" i="2" s="1"/>
  <c r="P88" i="2"/>
  <c r="Q88" i="2" s="1"/>
  <c r="P45" i="2"/>
  <c r="Q45" i="2" s="1"/>
  <c r="P129" i="2"/>
  <c r="Q129" i="2" s="1"/>
  <c r="P74" i="2"/>
  <c r="Q74" i="2" s="1"/>
  <c r="P66" i="2"/>
  <c r="Q66" i="2" s="1"/>
  <c r="P178" i="2"/>
  <c r="Q178" i="2" s="1"/>
  <c r="P30" i="2"/>
  <c r="Q30" i="2" s="1"/>
  <c r="P122" i="2"/>
  <c r="Q122" i="2" s="1"/>
  <c r="P18" i="2"/>
  <c r="Q18" i="2" s="1"/>
  <c r="P141" i="2"/>
  <c r="Q141" i="2" s="1"/>
  <c r="P97" i="2"/>
  <c r="Q97" i="2" s="1"/>
  <c r="P48" i="2"/>
  <c r="Q48" i="2" s="1"/>
  <c r="P69" i="2"/>
  <c r="Q69" i="2" s="1"/>
  <c r="P42" i="2"/>
  <c r="Q42" i="2" s="1"/>
  <c r="P87" i="2"/>
  <c r="Q87" i="2" s="1"/>
  <c r="P116" i="2"/>
  <c r="Q116" i="2" s="1"/>
  <c r="P79" i="2"/>
  <c r="Q79" i="2" s="1"/>
  <c r="P44" i="2"/>
  <c r="Q44" i="2" s="1"/>
  <c r="P24" i="2"/>
  <c r="Q24" i="2" s="1"/>
  <c r="P144" i="2"/>
  <c r="Q144" i="2" s="1"/>
  <c r="P101" i="2"/>
  <c r="Q101" i="2" s="1"/>
  <c r="P185" i="2"/>
  <c r="Q185" i="2" s="1"/>
  <c r="P93" i="2"/>
  <c r="Q93" i="2" s="1"/>
  <c r="P113" i="2"/>
  <c r="Q113" i="2" s="1"/>
  <c r="P58" i="2"/>
  <c r="Q58" i="2" s="1"/>
  <c r="P77" i="2"/>
  <c r="Q77" i="2" s="1"/>
  <c r="P33" i="2"/>
  <c r="Q33" i="2" s="1"/>
  <c r="P89" i="2"/>
  <c r="Q89" i="2" s="1"/>
  <c r="P23" i="2"/>
  <c r="Q23" i="2" s="1"/>
  <c r="P52" i="2"/>
  <c r="Q52" i="2" s="1"/>
  <c r="P126" i="2"/>
  <c r="Q126" i="2" s="1"/>
  <c r="P99" i="2"/>
  <c r="Q99" i="2" s="1"/>
  <c r="P135" i="2"/>
  <c r="Q135" i="2" s="1"/>
  <c r="P100" i="2"/>
  <c r="Q100" i="2" s="1"/>
  <c r="P80" i="2"/>
  <c r="Q80" i="2" s="1"/>
  <c r="P37" i="2"/>
  <c r="Q37" i="2" s="1"/>
  <c r="P136" i="2"/>
  <c r="Q136" i="2" s="1"/>
  <c r="P29" i="2"/>
  <c r="Q29" i="2" s="1"/>
  <c r="P49" i="2"/>
  <c r="Q49" i="2" s="1"/>
  <c r="P192" i="2"/>
  <c r="Q192" i="2" s="1"/>
  <c r="P85" i="2"/>
  <c r="Q85" i="2" s="1"/>
  <c r="P120" i="2"/>
  <c r="Q120" i="2" s="1"/>
  <c r="P132" i="2"/>
  <c r="Q132" i="2" s="1"/>
  <c r="P106" i="2"/>
  <c r="Q106" i="2" s="1"/>
  <c r="P95" i="2"/>
  <c r="Q95" i="2" s="1"/>
  <c r="P124" i="2"/>
  <c r="Q124" i="2" s="1"/>
  <c r="P107" i="2"/>
  <c r="Q107" i="2" s="1"/>
  <c r="P134" i="2"/>
  <c r="Q134" i="2" s="1"/>
  <c r="P43" i="2"/>
  <c r="Q43" i="2" s="1"/>
  <c r="P62" i="2"/>
  <c r="Q62" i="2" s="1"/>
  <c r="P35" i="2"/>
  <c r="Q35" i="2" s="1"/>
  <c r="P71" i="2"/>
  <c r="Q71" i="2" s="1"/>
  <c r="P36" i="2"/>
  <c r="Q36" i="2" s="1"/>
  <c r="P191" i="2"/>
  <c r="Q191" i="2" s="1"/>
  <c r="P92" i="2"/>
  <c r="Q92" i="2" s="1"/>
  <c r="P72" i="2"/>
  <c r="Q72" i="2" s="1"/>
  <c r="P84" i="2"/>
  <c r="Q84" i="2" s="1"/>
  <c r="P98" i="2"/>
  <c r="Q98" i="2" s="1"/>
  <c r="P128" i="2"/>
  <c r="Q128" i="2" s="1"/>
  <c r="P21" i="2"/>
  <c r="Q21" i="2" s="1"/>
  <c r="P105" i="2"/>
  <c r="Q105" i="2" s="1"/>
  <c r="P56" i="2"/>
  <c r="Q56" i="2" s="1"/>
  <c r="P68" i="2"/>
  <c r="Q68" i="2" s="1"/>
  <c r="Q25" i="2"/>
  <c r="P31" i="2"/>
  <c r="Q31" i="2" s="1"/>
  <c r="P60" i="2"/>
  <c r="Q60" i="2" s="1"/>
  <c r="P145" i="2"/>
  <c r="Q145" i="2" s="1"/>
  <c r="P70" i="2"/>
  <c r="Q70" i="2" s="1"/>
  <c r="P121" i="2"/>
  <c r="Q121" i="2" s="1"/>
  <c r="P118" i="2"/>
  <c r="Q118" i="2" s="1"/>
  <c r="P91" i="2"/>
  <c r="Q91" i="2" s="1"/>
  <c r="P127" i="2"/>
  <c r="Q127" i="2" s="1"/>
  <c r="P28" i="2"/>
  <c r="Q28" i="2" s="1"/>
  <c r="P119" i="2"/>
  <c r="Q119" i="2" s="1"/>
  <c r="P73" i="2"/>
  <c r="Q73" i="2" s="1"/>
  <c r="P183" i="2"/>
  <c r="Q183" i="2" s="1"/>
  <c r="P167" i="2"/>
  <c r="Q167" i="2" s="1"/>
  <c r="P64" i="2"/>
  <c r="Q64" i="2" s="1"/>
  <c r="P140" i="2"/>
  <c r="Q140" i="2" s="1"/>
  <c r="P41" i="2"/>
  <c r="Q41" i="2" s="1"/>
  <c r="P103" i="2"/>
  <c r="Q103" i="2" s="1"/>
  <c r="P123" i="2"/>
  <c r="Q123" i="2" s="1"/>
  <c r="P34" i="2"/>
  <c r="Q34" i="2" s="1"/>
  <c r="P142" i="2"/>
  <c r="Q142" i="2" s="1"/>
  <c r="P117" i="2"/>
  <c r="Q117" i="2" s="1"/>
  <c r="P90" i="2"/>
  <c r="Q90" i="2" s="1"/>
  <c r="P54" i="2"/>
  <c r="Q54" i="2" s="1"/>
  <c r="P27" i="2"/>
  <c r="Q27" i="2" s="1"/>
  <c r="P63" i="2"/>
  <c r="Q63" i="2" s="1"/>
  <c r="P83" i="2"/>
  <c r="Q83" i="2" s="1"/>
  <c r="P55" i="2"/>
  <c r="Q55" i="2" s="1"/>
  <c r="P139" i="2"/>
  <c r="Q139" i="2" s="1"/>
  <c r="P65" i="2"/>
  <c r="Q65" i="2" s="1"/>
  <c r="P197" i="4" l="1"/>
  <c r="Q197" i="4" s="1"/>
  <c r="P159" i="4"/>
  <c r="Q159" i="4" s="1"/>
  <c r="P125" i="4"/>
  <c r="Q125" i="4" s="1"/>
  <c r="R162" i="4"/>
  <c r="P85" i="4"/>
  <c r="Q85" i="4" s="1"/>
  <c r="P137" i="4"/>
  <c r="Q137" i="4" s="1"/>
  <c r="P174" i="4"/>
  <c r="Q174" i="4" s="1"/>
  <c r="P54" i="4"/>
  <c r="Q54" i="4" s="1"/>
  <c r="P170" i="4"/>
  <c r="Q170" i="4" s="1"/>
  <c r="P19" i="4"/>
  <c r="Q19" i="4" s="1"/>
  <c r="P117" i="4"/>
  <c r="Q117" i="4" s="1"/>
  <c r="P146" i="4"/>
  <c r="Q146" i="4" s="1"/>
  <c r="P155" i="4"/>
  <c r="Q155" i="4" s="1"/>
  <c r="P27" i="4"/>
  <c r="Q27" i="4" s="1"/>
  <c r="P151" i="4"/>
  <c r="Q151" i="4" s="1"/>
  <c r="P141" i="4"/>
  <c r="Q141" i="4" s="1"/>
  <c r="P81" i="4"/>
  <c r="Q81" i="4" s="1"/>
  <c r="R188" i="4"/>
  <c r="P62" i="4"/>
  <c r="Q62" i="4" s="1"/>
  <c r="P92" i="4"/>
  <c r="Q92" i="4" s="1"/>
  <c r="P164" i="4"/>
  <c r="Q164" i="4" s="1"/>
  <c r="P114" i="4"/>
  <c r="Q114" i="4" s="1"/>
  <c r="R187" i="4"/>
  <c r="P29" i="4"/>
  <c r="Q29" i="4" s="1"/>
  <c r="R167" i="4"/>
  <c r="P109" i="4"/>
  <c r="Q109" i="4" s="1"/>
  <c r="P51" i="4"/>
  <c r="Q51" i="4" s="1"/>
  <c r="R189" i="4"/>
  <c r="P97" i="4"/>
  <c r="Q97" i="4" s="1"/>
  <c r="P86" i="4"/>
  <c r="Q86" i="4" s="1"/>
  <c r="P23" i="4"/>
  <c r="Q23" i="4" s="1"/>
  <c r="P78" i="4"/>
  <c r="Q78" i="4" s="1"/>
  <c r="P40" i="4"/>
  <c r="Q40" i="4" s="1"/>
  <c r="R150" i="4"/>
  <c r="P184" i="4"/>
  <c r="Q184" i="4" s="1"/>
  <c r="P77" i="4"/>
  <c r="Q77" i="4" s="1"/>
  <c r="R154" i="4"/>
  <c r="P124" i="4"/>
  <c r="Q124" i="4" s="1"/>
  <c r="R160" i="4"/>
  <c r="P42" i="4"/>
  <c r="Q42" i="4" s="1"/>
  <c r="P70" i="4"/>
  <c r="Q70" i="4" s="1"/>
  <c r="P165" i="4"/>
  <c r="Q165" i="4" s="1"/>
  <c r="P139" i="4"/>
  <c r="Q139" i="4" s="1"/>
  <c r="P22" i="4"/>
  <c r="Q22" i="4" s="1"/>
  <c r="P55" i="4"/>
  <c r="Q55" i="4" s="1"/>
  <c r="P105" i="4"/>
  <c r="Q105" i="4" s="1"/>
  <c r="P173" i="4"/>
  <c r="Q173" i="4" s="1"/>
  <c r="P116" i="4"/>
  <c r="Q116" i="4" s="1"/>
  <c r="P113" i="4"/>
  <c r="Q113" i="4" s="1"/>
  <c r="P175" i="4"/>
  <c r="Q175" i="4" s="1"/>
  <c r="P24" i="4"/>
  <c r="Q24" i="4" s="1"/>
  <c r="P161" i="4"/>
  <c r="Q161" i="4" s="1"/>
  <c r="P186" i="4"/>
  <c r="Q186" i="4" s="1"/>
  <c r="P136" i="4"/>
  <c r="Q136" i="4" s="1"/>
  <c r="P93" i="4"/>
  <c r="Q93" i="4" s="1"/>
  <c r="P94" i="4"/>
  <c r="Q94" i="4" s="1"/>
  <c r="P178" i="4"/>
  <c r="Q178" i="4" s="1"/>
  <c r="P172" i="4"/>
  <c r="Q172" i="4" s="1"/>
  <c r="P41" i="4"/>
  <c r="Q41" i="4" s="1"/>
  <c r="P122" i="4"/>
  <c r="Q122" i="4" s="1"/>
  <c r="P185" i="4"/>
  <c r="Q185" i="4" s="1"/>
  <c r="P32" i="4"/>
  <c r="Q32" i="4" s="1"/>
  <c r="P99" i="4"/>
  <c r="Q99" i="4" s="1"/>
  <c r="P21" i="4"/>
  <c r="Q21" i="4" s="1"/>
  <c r="P128" i="4"/>
  <c r="Q128" i="4" s="1"/>
  <c r="P115" i="4"/>
  <c r="Q115" i="4" s="1"/>
  <c r="P52" i="4"/>
  <c r="Q52" i="4" s="1"/>
  <c r="P69" i="4"/>
  <c r="Q69" i="4" s="1"/>
  <c r="P126" i="4"/>
  <c r="Q126" i="4" s="1"/>
  <c r="P181" i="4"/>
  <c r="Q181" i="4" s="1"/>
  <c r="P63" i="4"/>
  <c r="Q63" i="4" s="1"/>
  <c r="P177" i="4"/>
  <c r="Q177" i="4" s="1"/>
  <c r="P190" i="4"/>
  <c r="Q190" i="4" s="1"/>
  <c r="P38" i="4"/>
  <c r="Q38" i="4" s="1"/>
  <c r="P25" i="4"/>
  <c r="Q25" i="4" s="1"/>
  <c r="P43" i="4"/>
  <c r="Q43" i="4" s="1"/>
  <c r="R166" i="4"/>
  <c r="P119" i="4"/>
  <c r="Q119" i="4" s="1"/>
  <c r="P143" i="4"/>
  <c r="Q143" i="4" s="1"/>
  <c r="P135" i="4"/>
  <c r="Q135" i="4" s="1"/>
  <c r="R76" i="4"/>
  <c r="T76" i="4"/>
  <c r="U76" i="4" s="1"/>
  <c r="R134" i="4"/>
  <c r="T134" i="4"/>
  <c r="U134" i="4" s="1"/>
  <c r="P131" i="4"/>
  <c r="Q131" i="4" s="1"/>
  <c r="T28" i="4"/>
  <c r="U28" i="4" s="1"/>
  <c r="R28" i="4"/>
  <c r="R71" i="4"/>
  <c r="T71" i="4"/>
  <c r="U71" i="4" s="1"/>
  <c r="T79" i="4"/>
  <c r="U79" i="4" s="1"/>
  <c r="R79" i="4"/>
  <c r="T53" i="4"/>
  <c r="U53" i="4" s="1"/>
  <c r="R53" i="4"/>
  <c r="P71" i="4"/>
  <c r="Q71" i="4" s="1"/>
  <c r="T42" i="4"/>
  <c r="U42" i="4" s="1"/>
  <c r="R42" i="4"/>
  <c r="P36" i="4"/>
  <c r="Q36" i="4" s="1"/>
  <c r="T49" i="4"/>
  <c r="U49" i="4" s="1"/>
  <c r="R49" i="4"/>
  <c r="P100" i="4"/>
  <c r="Q100" i="4" s="1"/>
  <c r="T72" i="4"/>
  <c r="U72" i="4" s="1"/>
  <c r="R72" i="4"/>
  <c r="P49" i="4"/>
  <c r="Q49" i="4" s="1"/>
  <c r="P121" i="4"/>
  <c r="Q121" i="4" s="1"/>
  <c r="P183" i="4"/>
  <c r="Q183" i="4" s="1"/>
  <c r="R82" i="4"/>
  <c r="T82" i="4"/>
  <c r="U82" i="4" s="1"/>
  <c r="T30" i="4"/>
  <c r="U30" i="4" s="1"/>
  <c r="R30" i="4"/>
  <c r="R156" i="4"/>
  <c r="T95" i="4"/>
  <c r="U95" i="4" s="1"/>
  <c r="R95" i="4"/>
  <c r="T17" i="4"/>
  <c r="U17" i="4" s="1"/>
  <c r="V17" i="4" s="1"/>
  <c r="R17" i="4"/>
  <c r="P130" i="4"/>
  <c r="Q130" i="4" s="1"/>
  <c r="P101" i="4"/>
  <c r="Q101" i="4" s="1"/>
  <c r="R47" i="4"/>
  <c r="T47" i="4"/>
  <c r="U47" i="4" s="1"/>
  <c r="T93" i="4"/>
  <c r="U93" i="4" s="1"/>
  <c r="R93" i="4"/>
  <c r="T112" i="4"/>
  <c r="U112" i="4" s="1"/>
  <c r="R112" i="4"/>
  <c r="T59" i="4"/>
  <c r="U59" i="4" s="1"/>
  <c r="R59" i="4"/>
  <c r="R20" i="4"/>
  <c r="T20" i="4"/>
  <c r="U20" i="4" s="1"/>
  <c r="R55" i="4"/>
  <c r="T55" i="4"/>
  <c r="U55" i="4" s="1"/>
  <c r="R141" i="4"/>
  <c r="T141" i="4"/>
  <c r="U141" i="4" s="1"/>
  <c r="T45" i="4"/>
  <c r="U45" i="4" s="1"/>
  <c r="R45" i="4"/>
  <c r="R32" i="4"/>
  <c r="T32" i="4"/>
  <c r="U32" i="4" s="1"/>
  <c r="T41" i="4"/>
  <c r="U41" i="4" s="1"/>
  <c r="R41" i="4"/>
  <c r="P144" i="4"/>
  <c r="Q144" i="4" s="1"/>
  <c r="P133" i="4"/>
  <c r="Q133" i="4" s="1"/>
  <c r="P120" i="4"/>
  <c r="Q120" i="4" s="1"/>
  <c r="P64" i="4"/>
  <c r="Q64" i="4" s="1"/>
  <c r="T23" i="4"/>
  <c r="U23" i="4" s="1"/>
  <c r="R23" i="4"/>
  <c r="R194" i="4"/>
  <c r="P142" i="4"/>
  <c r="Q142" i="4" s="1"/>
  <c r="T96" i="4"/>
  <c r="U96" i="4" s="1"/>
  <c r="R96" i="4"/>
  <c r="R35" i="4"/>
  <c r="T35" i="4"/>
  <c r="U35" i="4" s="1"/>
  <c r="T85" i="4"/>
  <c r="U85" i="4" s="1"/>
  <c r="R85" i="4"/>
  <c r="P108" i="4"/>
  <c r="Q108" i="4" s="1"/>
  <c r="P91" i="4"/>
  <c r="Q91" i="4" s="1"/>
  <c r="P112" i="4"/>
  <c r="Q112" i="4" s="1"/>
  <c r="R51" i="4"/>
  <c r="T51" i="4"/>
  <c r="U51" i="4" s="1"/>
  <c r="R193" i="4"/>
  <c r="R158" i="4"/>
  <c r="P106" i="4"/>
  <c r="Q106" i="4" s="1"/>
  <c r="P90" i="4"/>
  <c r="Q90" i="4" s="1"/>
  <c r="P57" i="4"/>
  <c r="Q57" i="4" s="1"/>
  <c r="P72" i="4"/>
  <c r="Q72" i="4" s="1"/>
  <c r="R40" i="4"/>
  <c r="T40" i="4"/>
  <c r="U40" i="4" s="1"/>
  <c r="T121" i="4"/>
  <c r="U121" i="4" s="1"/>
  <c r="R121" i="4"/>
  <c r="R110" i="4"/>
  <c r="T110" i="4"/>
  <c r="U110" i="4" s="1"/>
  <c r="R65" i="4"/>
  <c r="T65" i="4"/>
  <c r="U65" i="4" s="1"/>
  <c r="P191" i="4"/>
  <c r="Q191" i="4" s="1"/>
  <c r="R143" i="4"/>
  <c r="T143" i="4"/>
  <c r="U143" i="4" s="1"/>
  <c r="P28" i="4"/>
  <c r="Q28" i="4" s="1"/>
  <c r="T140" i="4"/>
  <c r="U140" i="4" s="1"/>
  <c r="R140" i="4"/>
  <c r="P129" i="4"/>
  <c r="Q129" i="4" s="1"/>
  <c r="P50" i="4"/>
  <c r="Q50" i="4" s="1"/>
  <c r="R107" i="4"/>
  <c r="T107" i="4"/>
  <c r="U107" i="4" s="1"/>
  <c r="T91" i="4"/>
  <c r="U91" i="4" s="1"/>
  <c r="R91" i="4"/>
  <c r="T58" i="4"/>
  <c r="U58" i="4" s="1"/>
  <c r="R58" i="4"/>
  <c r="T73" i="4"/>
  <c r="U73" i="4" s="1"/>
  <c r="R73" i="4"/>
  <c r="P66" i="4"/>
  <c r="Q66" i="4" s="1"/>
  <c r="T102" i="4"/>
  <c r="U102" i="4" s="1"/>
  <c r="R102" i="4"/>
  <c r="T98" i="4"/>
  <c r="U98" i="4" s="1"/>
  <c r="R98" i="4"/>
  <c r="R133" i="4"/>
  <c r="T133" i="4"/>
  <c r="U133" i="4" s="1"/>
  <c r="R138" i="4"/>
  <c r="T138" i="4"/>
  <c r="U138" i="4" s="1"/>
  <c r="T100" i="4"/>
  <c r="U100" i="4" s="1"/>
  <c r="R100" i="4"/>
  <c r="R29" i="4"/>
  <c r="T29" i="4"/>
  <c r="U29" i="4" s="1"/>
  <c r="T56" i="4"/>
  <c r="U56" i="4" s="1"/>
  <c r="R56" i="4"/>
  <c r="P176" i="4"/>
  <c r="Q176" i="4" s="1"/>
  <c r="P110" i="4"/>
  <c r="Q110" i="4" s="1"/>
  <c r="T78" i="4"/>
  <c r="U78" i="4" s="1"/>
  <c r="R78" i="4"/>
  <c r="R106" i="4"/>
  <c r="T106" i="4"/>
  <c r="U106" i="4" s="1"/>
  <c r="R130" i="4"/>
  <c r="T130" i="4"/>
  <c r="U130" i="4" s="1"/>
  <c r="R117" i="4"/>
  <c r="T117" i="4"/>
  <c r="U117" i="4" s="1"/>
  <c r="P26" i="4"/>
  <c r="Q26" i="4" s="1"/>
  <c r="R67" i="4"/>
  <c r="T67" i="4"/>
  <c r="U67" i="4" s="1"/>
  <c r="P79" i="4"/>
  <c r="Q79" i="4" s="1"/>
  <c r="T137" i="4"/>
  <c r="U137" i="4" s="1"/>
  <c r="R137" i="4"/>
  <c r="R27" i="4"/>
  <c r="T27" i="4"/>
  <c r="U27" i="4" s="1"/>
  <c r="R114" i="4"/>
  <c r="T114" i="4"/>
  <c r="U114" i="4" s="1"/>
  <c r="T36" i="4"/>
  <c r="U36" i="4" s="1"/>
  <c r="R36" i="4"/>
  <c r="R149" i="4"/>
  <c r="P56" i="4"/>
  <c r="Q56" i="4" s="1"/>
  <c r="P134" i="4"/>
  <c r="Q134" i="4" s="1"/>
  <c r="P104" i="4"/>
  <c r="Q104" i="4" s="1"/>
  <c r="P76" i="4"/>
  <c r="Q76" i="4" s="1"/>
  <c r="T84" i="4"/>
  <c r="U84" i="4" s="1"/>
  <c r="R84" i="4"/>
  <c r="T46" i="4"/>
  <c r="U46" i="4" s="1"/>
  <c r="R46" i="4"/>
  <c r="R131" i="4"/>
  <c r="T131" i="4"/>
  <c r="U131" i="4" s="1"/>
  <c r="R145" i="4"/>
  <c r="T145" i="4"/>
  <c r="U145" i="4" s="1"/>
  <c r="R127" i="4"/>
  <c r="T127" i="4"/>
  <c r="U127" i="4" s="1"/>
  <c r="T68" i="4"/>
  <c r="U68" i="4" s="1"/>
  <c r="R68" i="4"/>
  <c r="T132" i="4"/>
  <c r="U132" i="4" s="1"/>
  <c r="R132" i="4"/>
  <c r="R43" i="4"/>
  <c r="T43" i="4"/>
  <c r="U43" i="4" s="1"/>
  <c r="P127" i="4"/>
  <c r="Q127" i="4" s="1"/>
  <c r="R101" i="4"/>
  <c r="T101" i="4"/>
  <c r="U101" i="4" s="1"/>
  <c r="P145" i="4"/>
  <c r="Q145" i="4" s="1"/>
  <c r="T25" i="4"/>
  <c r="U25" i="4" s="1"/>
  <c r="R25" i="4"/>
  <c r="R57" i="4"/>
  <c r="T57" i="4"/>
  <c r="U57" i="4" s="1"/>
  <c r="P102" i="4"/>
  <c r="Q102" i="4" s="1"/>
  <c r="T128" i="4"/>
  <c r="U128" i="4" s="1"/>
  <c r="R128" i="4"/>
  <c r="P168" i="4"/>
  <c r="Q168" i="4" s="1"/>
  <c r="P98" i="4"/>
  <c r="Q98" i="4" s="1"/>
  <c r="P82" i="4"/>
  <c r="Q82" i="4" s="1"/>
  <c r="P47" i="4"/>
  <c r="Q47" i="4" s="1"/>
  <c r="P153" i="4"/>
  <c r="Q153" i="4" s="1"/>
  <c r="P123" i="4"/>
  <c r="Q123" i="4" s="1"/>
  <c r="R94" i="4"/>
  <c r="T94" i="4"/>
  <c r="U94" i="4" s="1"/>
  <c r="P37" i="4"/>
  <c r="Q37" i="4" s="1"/>
  <c r="P20" i="4"/>
  <c r="Q20" i="4" s="1"/>
  <c r="P192" i="4"/>
  <c r="Q192" i="4" s="1"/>
  <c r="P171" i="4"/>
  <c r="Q171" i="4" s="1"/>
  <c r="T125" i="4"/>
  <c r="U125" i="4" s="1"/>
  <c r="R125" i="4"/>
  <c r="P169" i="4"/>
  <c r="Q169" i="4" s="1"/>
  <c r="P147" i="4"/>
  <c r="Q147" i="4" s="1"/>
  <c r="T122" i="4"/>
  <c r="U122" i="4" s="1"/>
  <c r="R122" i="4"/>
  <c r="T81" i="4"/>
  <c r="U81" i="4" s="1"/>
  <c r="R81" i="4"/>
  <c r="R33" i="4"/>
  <c r="T33" i="4"/>
  <c r="U33" i="4" s="1"/>
  <c r="P103" i="4"/>
  <c r="Q103" i="4" s="1"/>
  <c r="R163" i="4"/>
  <c r="R115" i="4"/>
  <c r="T115" i="4"/>
  <c r="U115" i="4" s="1"/>
  <c r="P107" i="4"/>
  <c r="Q107" i="4" s="1"/>
  <c r="P59" i="4"/>
  <c r="Q59" i="4" s="1"/>
  <c r="T19" i="4"/>
  <c r="U19" i="4" s="1"/>
  <c r="R19" i="4"/>
  <c r="P196" i="4"/>
  <c r="Q196" i="4" s="1"/>
  <c r="P30" i="4"/>
  <c r="Q30" i="4" s="1"/>
  <c r="K198" i="4"/>
  <c r="M18" i="4"/>
  <c r="P179" i="4"/>
  <c r="Q179" i="4" s="1"/>
  <c r="R135" i="4"/>
  <c r="T135" i="4"/>
  <c r="U135" i="4" s="1"/>
  <c r="T105" i="4"/>
  <c r="U105" i="4" s="1"/>
  <c r="R105" i="4"/>
  <c r="R77" i="4"/>
  <c r="T77" i="4"/>
  <c r="U77" i="4" s="1"/>
  <c r="P83" i="4"/>
  <c r="Q83" i="4" s="1"/>
  <c r="P45" i="4"/>
  <c r="Q45" i="4" s="1"/>
  <c r="R39" i="4"/>
  <c r="T39" i="4"/>
  <c r="U39" i="4" s="1"/>
  <c r="R44" i="4"/>
  <c r="T44" i="4"/>
  <c r="U44" i="4" s="1"/>
  <c r="R129" i="4"/>
  <c r="T129" i="4"/>
  <c r="U129" i="4" s="1"/>
  <c r="R70" i="4"/>
  <c r="T70" i="4"/>
  <c r="U70" i="4" s="1"/>
  <c r="P65" i="4"/>
  <c r="Q65" i="4" s="1"/>
  <c r="T50" i="4"/>
  <c r="U50" i="4" s="1"/>
  <c r="R50" i="4"/>
  <c r="P182" i="4"/>
  <c r="Q182" i="4" s="1"/>
  <c r="R99" i="4"/>
  <c r="T99" i="4"/>
  <c r="U99" i="4" s="1"/>
  <c r="T83" i="4"/>
  <c r="U83" i="4" s="1"/>
  <c r="R83" i="4"/>
  <c r="R48" i="4"/>
  <c r="T48" i="4"/>
  <c r="U48" i="4" s="1"/>
  <c r="R22" i="4"/>
  <c r="T22" i="4"/>
  <c r="U22" i="4" s="1"/>
  <c r="T126" i="4"/>
  <c r="U126" i="4" s="1"/>
  <c r="R126" i="4"/>
  <c r="R124" i="4"/>
  <c r="T124" i="4"/>
  <c r="U124" i="4" s="1"/>
  <c r="R62" i="4"/>
  <c r="T62" i="4"/>
  <c r="U62" i="4" s="1"/>
  <c r="T38" i="4"/>
  <c r="U38" i="4" s="1"/>
  <c r="R38" i="4"/>
  <c r="T21" i="4"/>
  <c r="U21" i="4" s="1"/>
  <c r="R21" i="4"/>
  <c r="AL27" i="4"/>
  <c r="P118" i="4"/>
  <c r="Q118" i="4" s="1"/>
  <c r="P89" i="4"/>
  <c r="Q89" i="4" s="1"/>
  <c r="P68" i="4"/>
  <c r="Q68" i="4" s="1"/>
  <c r="R54" i="4"/>
  <c r="T54" i="4"/>
  <c r="U54" i="4" s="1"/>
  <c r="T108" i="4"/>
  <c r="U108" i="4" s="1"/>
  <c r="R108" i="4"/>
  <c r="T60" i="4"/>
  <c r="U60" i="4" s="1"/>
  <c r="R60" i="4"/>
  <c r="P138" i="4"/>
  <c r="Q138" i="4" s="1"/>
  <c r="R75" i="4"/>
  <c r="T75" i="4"/>
  <c r="U75" i="4" s="1"/>
  <c r="R31" i="4"/>
  <c r="T31" i="4"/>
  <c r="U31" i="4" s="1"/>
  <c r="P60" i="4"/>
  <c r="Q60" i="4" s="1"/>
  <c r="P73" i="4"/>
  <c r="Q73" i="4" s="1"/>
  <c r="R97" i="4"/>
  <c r="T97" i="4"/>
  <c r="U97" i="4" s="1"/>
  <c r="R88" i="4"/>
  <c r="T88" i="4"/>
  <c r="U88" i="4" s="1"/>
  <c r="T26" i="4"/>
  <c r="U26" i="4" s="1"/>
  <c r="R26" i="4"/>
  <c r="T34" i="4"/>
  <c r="U34" i="4" s="1"/>
  <c r="R34" i="4"/>
  <c r="R120" i="4"/>
  <c r="T120" i="4"/>
  <c r="U120" i="4" s="1"/>
  <c r="P132" i="4"/>
  <c r="Q132" i="4" s="1"/>
  <c r="R142" i="4"/>
  <c r="T142" i="4"/>
  <c r="U142" i="4" s="1"/>
  <c r="T144" i="4"/>
  <c r="U144" i="4" s="1"/>
  <c r="R144" i="4"/>
  <c r="R111" i="4"/>
  <c r="T111" i="4"/>
  <c r="U111" i="4" s="1"/>
  <c r="R66" i="4"/>
  <c r="T66" i="4"/>
  <c r="U66" i="4" s="1"/>
  <c r="T123" i="4"/>
  <c r="U123" i="4" s="1"/>
  <c r="R123" i="4"/>
  <c r="T118" i="4"/>
  <c r="U118" i="4" s="1"/>
  <c r="R118" i="4"/>
  <c r="T80" i="4"/>
  <c r="U80" i="4" s="1"/>
  <c r="R80" i="4"/>
  <c r="P80" i="4"/>
  <c r="Q80" i="4" s="1"/>
  <c r="T104" i="4"/>
  <c r="U104" i="4" s="1"/>
  <c r="R104" i="4"/>
  <c r="T64" i="4"/>
  <c r="U64" i="4" s="1"/>
  <c r="R64" i="4"/>
  <c r="R103" i="4"/>
  <c r="T103" i="4"/>
  <c r="U103" i="4" s="1"/>
  <c r="T87" i="4"/>
  <c r="U87" i="4" s="1"/>
  <c r="R87" i="4"/>
  <c r="R52" i="4"/>
  <c r="T52" i="4"/>
  <c r="U52" i="4" s="1"/>
  <c r="R37" i="4"/>
  <c r="T37" i="4"/>
  <c r="U37" i="4" s="1"/>
  <c r="T116" i="4"/>
  <c r="U116" i="4" s="1"/>
  <c r="R116" i="4"/>
  <c r="T63" i="4"/>
  <c r="U63" i="4" s="1"/>
  <c r="R63" i="4"/>
  <c r="T24" i="4"/>
  <c r="U24" i="4" s="1"/>
  <c r="R24" i="4"/>
  <c r="T89" i="4"/>
  <c r="U89" i="4" s="1"/>
  <c r="R89" i="4"/>
  <c r="P111" i="4"/>
  <c r="Q111" i="4" s="1"/>
  <c r="P58" i="4"/>
  <c r="Q58" i="4" s="1"/>
  <c r="P140" i="4"/>
  <c r="Q140" i="4" s="1"/>
  <c r="P44" i="4"/>
  <c r="Q44" i="4" s="1"/>
  <c r="T119" i="4"/>
  <c r="U119" i="4" s="1"/>
  <c r="R119" i="4"/>
  <c r="R90" i="4"/>
  <c r="T90" i="4"/>
  <c r="U90" i="4" s="1"/>
  <c r="R86" i="4"/>
  <c r="T86" i="4"/>
  <c r="U86" i="4" s="1"/>
  <c r="R69" i="4"/>
  <c r="T69" i="4"/>
  <c r="U69" i="4" s="1"/>
  <c r="P53" i="4"/>
  <c r="Q53" i="4" s="1"/>
  <c r="P95" i="4"/>
  <c r="Q95" i="4" s="1"/>
  <c r="P34" i="4"/>
  <c r="Q34" i="4" s="1"/>
  <c r="P84" i="4"/>
  <c r="Q84" i="4" s="1"/>
  <c r="R139" i="4"/>
  <c r="T139" i="4"/>
  <c r="U139" i="4" s="1"/>
  <c r="T109" i="4"/>
  <c r="U109" i="4" s="1"/>
  <c r="R109" i="4"/>
  <c r="T92" i="4"/>
  <c r="U92" i="4" s="1"/>
  <c r="R92" i="4"/>
  <c r="R113" i="4"/>
  <c r="T113" i="4"/>
  <c r="U113" i="4" s="1"/>
  <c r="T61" i="4"/>
  <c r="U61" i="4" s="1"/>
  <c r="R61" i="4"/>
  <c r="T136" i="4"/>
  <c r="U136" i="4" s="1"/>
  <c r="R136" i="4"/>
  <c r="R74" i="4"/>
  <c r="T74" i="4"/>
  <c r="U74" i="4" s="1"/>
  <c r="P96" i="4"/>
  <c r="Q96" i="4" s="1"/>
  <c r="P87" i="4"/>
  <c r="Q87" i="4" s="1"/>
  <c r="P39" i="4"/>
  <c r="Q39" i="4" s="1"/>
  <c r="AE27" i="2"/>
  <c r="AL26" i="2"/>
  <c r="AO26" i="2" s="1"/>
  <c r="AR26" i="2"/>
  <c r="AF25" i="2"/>
  <c r="AI25" i="2" s="1"/>
  <c r="AO25" i="2"/>
  <c r="AO24" i="2"/>
  <c r="AS26" i="2"/>
  <c r="T25" i="2"/>
  <c r="U25" i="2" s="1"/>
  <c r="T20" i="2"/>
  <c r="U20" i="2" s="1"/>
  <c r="P20" i="2"/>
  <c r="Q20" i="2" s="1"/>
  <c r="AP27" i="2"/>
  <c r="AQ27" i="2" s="1"/>
  <c r="AN26" i="2"/>
  <c r="M19" i="2"/>
  <c r="K198" i="2"/>
  <c r="P19" i="2"/>
  <c r="Q19" i="2" s="1"/>
  <c r="Q198" i="4" l="1"/>
  <c r="AL28" i="4"/>
  <c r="R18" i="4"/>
  <c r="T18" i="4"/>
  <c r="U18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AE28" i="2"/>
  <c r="AL27" i="2"/>
  <c r="AR27" i="2"/>
  <c r="AG26" i="2"/>
  <c r="AF26" i="2"/>
  <c r="AI26" i="2" s="1"/>
  <c r="AN27" i="2"/>
  <c r="Q198" i="2"/>
  <c r="AP28" i="2"/>
  <c r="AQ28" i="2" s="1"/>
  <c r="AF27" i="2"/>
  <c r="AI27" i="2" s="1"/>
  <c r="AG27" i="2"/>
  <c r="T19" i="2"/>
  <c r="U19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R19" i="2"/>
  <c r="AL29" i="4" l="1"/>
  <c r="AE29" i="2"/>
  <c r="AR28" i="2"/>
  <c r="AL28" i="2"/>
  <c r="AN28" i="2" s="1"/>
  <c r="AO27" i="2"/>
  <c r="AS27" i="2"/>
  <c r="AS28" i="2"/>
  <c r="AO28" i="2"/>
  <c r="AP29" i="2"/>
  <c r="AQ29" i="2" s="1"/>
  <c r="AF28" i="2"/>
  <c r="AI28" i="2" s="1"/>
  <c r="AG28" i="2"/>
  <c r="AL30" i="4" l="1"/>
  <c r="AE30" i="2"/>
  <c r="AL29" i="2"/>
  <c r="AR29" i="2"/>
  <c r="AS29" i="2"/>
  <c r="AO29" i="2"/>
  <c r="AP30" i="2"/>
  <c r="AQ30" i="2" s="1"/>
  <c r="AN29" i="2"/>
  <c r="AF29" i="2"/>
  <c r="AI29" i="2" s="1"/>
  <c r="AG29" i="2"/>
  <c r="AL31" i="4" l="1"/>
  <c r="AE31" i="2"/>
  <c r="AL30" i="2"/>
  <c r="AR30" i="2"/>
  <c r="AS30" i="2"/>
  <c r="AP31" i="2"/>
  <c r="AQ31" i="2" s="1"/>
  <c r="AG30" i="2"/>
  <c r="AF30" i="2"/>
  <c r="AI30" i="2" s="1"/>
  <c r="AL32" i="4" l="1"/>
  <c r="AE32" i="2"/>
  <c r="AR31" i="2"/>
  <c r="AL31" i="2"/>
  <c r="AO31" i="2"/>
  <c r="AP32" i="2"/>
  <c r="AQ32" i="2" s="1"/>
  <c r="AN30" i="2"/>
  <c r="AO30" i="2"/>
  <c r="AN31" i="2"/>
  <c r="AF31" i="2"/>
  <c r="AI31" i="2" s="1"/>
  <c r="AG31" i="2"/>
  <c r="AL33" i="4" l="1"/>
  <c r="AE33" i="2"/>
  <c r="AL32" i="2"/>
  <c r="AR32" i="2"/>
  <c r="AS31" i="2"/>
  <c r="AS32" i="2"/>
  <c r="AP33" i="2"/>
  <c r="AQ33" i="2" s="1"/>
  <c r="AO32" i="2"/>
  <c r="AN32" i="2"/>
  <c r="AF32" i="2"/>
  <c r="AI32" i="2" s="1"/>
  <c r="AG32" i="2"/>
  <c r="AL34" i="4" l="1"/>
  <c r="AE34" i="2"/>
  <c r="AL33" i="2"/>
  <c r="AN33" i="2" s="1"/>
  <c r="AR33" i="2"/>
  <c r="AS33" i="2"/>
  <c r="AP34" i="2"/>
  <c r="AQ34" i="2" s="1"/>
  <c r="AO33" i="2"/>
  <c r="AF33" i="2"/>
  <c r="AI33" i="2" s="1"/>
  <c r="AG33" i="2"/>
  <c r="AL35" i="4" l="1"/>
  <c r="AE35" i="2"/>
  <c r="AL34" i="2"/>
  <c r="AR34" i="2"/>
  <c r="AS34" i="2"/>
  <c r="AO34" i="2"/>
  <c r="AP35" i="2"/>
  <c r="AQ35" i="2" s="1"/>
  <c r="AF34" i="2"/>
  <c r="AI34" i="2" s="1"/>
  <c r="AG34" i="2"/>
  <c r="AL36" i="4" l="1"/>
  <c r="AE36" i="2"/>
  <c r="AR35" i="2"/>
  <c r="AL35" i="2"/>
  <c r="AS35" i="2"/>
  <c r="AN34" i="2"/>
  <c r="AO35" i="2"/>
  <c r="AP36" i="2"/>
  <c r="AQ36" i="2" s="1"/>
  <c r="AN35" i="2"/>
  <c r="AF35" i="2"/>
  <c r="AI35" i="2" s="1"/>
  <c r="AG35" i="2"/>
  <c r="AL37" i="4" l="1"/>
  <c r="AE37" i="2"/>
  <c r="AR36" i="2"/>
  <c r="AL36" i="2"/>
  <c r="AS36" i="2"/>
  <c r="AP37" i="2"/>
  <c r="AQ37" i="2" s="1"/>
  <c r="AO36" i="2"/>
  <c r="AN36" i="2"/>
  <c r="AF36" i="2"/>
  <c r="AI36" i="2" s="1"/>
  <c r="AG36" i="2"/>
  <c r="AL38" i="4" l="1"/>
  <c r="AE38" i="2"/>
  <c r="AL37" i="2"/>
  <c r="AR37" i="2"/>
  <c r="AS37" i="2"/>
  <c r="AP38" i="2"/>
  <c r="AQ38" i="2" s="1"/>
  <c r="AO37" i="2"/>
  <c r="AN37" i="2"/>
  <c r="AF37" i="2"/>
  <c r="AI37" i="2" s="1"/>
  <c r="AG37" i="2"/>
  <c r="AL39" i="4" l="1"/>
  <c r="AE39" i="2"/>
  <c r="AL38" i="2"/>
  <c r="AR38" i="2"/>
  <c r="AS38" i="2"/>
  <c r="AP39" i="2"/>
  <c r="AQ39" i="2" s="1"/>
  <c r="AO38" i="2"/>
  <c r="AN38" i="2"/>
  <c r="AF38" i="2"/>
  <c r="AI38" i="2" s="1"/>
  <c r="AG38" i="2"/>
  <c r="AL40" i="4" l="1"/>
  <c r="AE40" i="2"/>
  <c r="AR39" i="2"/>
  <c r="AL39" i="2"/>
  <c r="AS39" i="2"/>
  <c r="AP40" i="2"/>
  <c r="AQ40" i="2" s="1"/>
  <c r="AO39" i="2"/>
  <c r="AN39" i="2"/>
  <c r="AF39" i="2"/>
  <c r="AI39" i="2" s="1"/>
  <c r="AG39" i="2"/>
  <c r="AL41" i="4" l="1"/>
  <c r="AE41" i="2"/>
  <c r="AL40" i="2"/>
  <c r="AO40" i="2" s="1"/>
  <c r="AR40" i="2"/>
  <c r="AS40" i="2"/>
  <c r="AP41" i="2"/>
  <c r="AQ41" i="2" s="1"/>
  <c r="AF40" i="2"/>
  <c r="AI40" i="2" s="1"/>
  <c r="AG40" i="2"/>
  <c r="AL42" i="4" l="1"/>
  <c r="AE42" i="2"/>
  <c r="AL41" i="2"/>
  <c r="AR41" i="2"/>
  <c r="AN40" i="2"/>
  <c r="AS41" i="2"/>
  <c r="AO41" i="2"/>
  <c r="AP42" i="2"/>
  <c r="AQ42" i="2" s="1"/>
  <c r="AF41" i="2"/>
  <c r="AI41" i="2" s="1"/>
  <c r="AG41" i="2"/>
  <c r="AL43" i="4" l="1"/>
  <c r="AE43" i="2"/>
  <c r="AR42" i="2"/>
  <c r="AL42" i="2"/>
  <c r="AN42" i="2" s="1"/>
  <c r="AS42" i="2"/>
  <c r="AN41" i="2"/>
  <c r="AO42" i="2"/>
  <c r="AP43" i="2"/>
  <c r="AQ43" i="2" s="1"/>
  <c r="AF42" i="2"/>
  <c r="AI42" i="2" s="1"/>
  <c r="AG42" i="2"/>
  <c r="AL44" i="4" l="1"/>
  <c r="AE44" i="2"/>
  <c r="AR43" i="2"/>
  <c r="AL43" i="2"/>
  <c r="AS43" i="2"/>
  <c r="AO43" i="2"/>
  <c r="AP44" i="2"/>
  <c r="AQ44" i="2" s="1"/>
  <c r="AN43" i="2"/>
  <c r="AF43" i="2"/>
  <c r="AI43" i="2" s="1"/>
  <c r="AG43" i="2"/>
  <c r="AL45" i="4" l="1"/>
  <c r="AE45" i="2"/>
  <c r="AL44" i="2"/>
  <c r="AR44" i="2"/>
  <c r="AS44" i="2"/>
  <c r="AP45" i="2"/>
  <c r="AQ45" i="2" s="1"/>
  <c r="AO44" i="2"/>
  <c r="AN44" i="2"/>
  <c r="AF44" i="2"/>
  <c r="AI44" i="2" s="1"/>
  <c r="AG44" i="2"/>
  <c r="AL46" i="4" l="1"/>
  <c r="AE46" i="2"/>
  <c r="AL45" i="2"/>
  <c r="AR45" i="2"/>
  <c r="AS45" i="2"/>
  <c r="AP46" i="2"/>
  <c r="AQ46" i="2" s="1"/>
  <c r="AO45" i="2"/>
  <c r="AN45" i="2"/>
  <c r="AF45" i="2"/>
  <c r="AI45" i="2" s="1"/>
  <c r="AG45" i="2"/>
  <c r="AL47" i="4" l="1"/>
  <c r="AE47" i="2"/>
  <c r="AL46" i="2"/>
  <c r="AN46" i="2" s="1"/>
  <c r="AR46" i="2"/>
  <c r="AS46" i="2"/>
  <c r="AP47" i="2"/>
  <c r="AQ47" i="2" s="1"/>
  <c r="AO46" i="2"/>
  <c r="AF46" i="2"/>
  <c r="AI46" i="2" s="1"/>
  <c r="AG46" i="2"/>
  <c r="AL48" i="4" l="1"/>
  <c r="AE48" i="2"/>
  <c r="AL47" i="2"/>
  <c r="AR47" i="2"/>
  <c r="AS47" i="2"/>
  <c r="AP48" i="2"/>
  <c r="AQ48" i="2" s="1"/>
  <c r="AO47" i="2"/>
  <c r="AN47" i="2"/>
  <c r="AF47" i="2"/>
  <c r="AI47" i="2" s="1"/>
  <c r="AG47" i="2"/>
  <c r="AL49" i="4" l="1"/>
  <c r="AE49" i="2"/>
  <c r="AL48" i="2"/>
  <c r="AR48" i="2"/>
  <c r="AS48" i="2"/>
  <c r="AP49" i="2"/>
  <c r="AQ49" i="2" s="1"/>
  <c r="AO48" i="2"/>
  <c r="AN48" i="2"/>
  <c r="AF48" i="2"/>
  <c r="AI48" i="2" s="1"/>
  <c r="AG48" i="2"/>
  <c r="AL50" i="4" l="1"/>
  <c r="AE50" i="2"/>
  <c r="AL49" i="2"/>
  <c r="AR49" i="2"/>
  <c r="AS49" i="2"/>
  <c r="AP50" i="2"/>
  <c r="AQ50" i="2" s="1"/>
  <c r="AO49" i="2"/>
  <c r="AN49" i="2"/>
  <c r="AF49" i="2"/>
  <c r="AI49" i="2" s="1"/>
  <c r="AG49" i="2"/>
  <c r="AL51" i="4" l="1"/>
  <c r="AE51" i="2"/>
  <c r="AR50" i="2"/>
  <c r="AL50" i="2"/>
  <c r="AS50" i="2"/>
  <c r="AP51" i="2"/>
  <c r="AQ51" i="2" s="1"/>
  <c r="AO50" i="2"/>
  <c r="AN50" i="2"/>
  <c r="AF50" i="2"/>
  <c r="AI50" i="2" s="1"/>
  <c r="AG50" i="2"/>
  <c r="AL52" i="4" l="1"/>
  <c r="AE52" i="2"/>
  <c r="AR51" i="2"/>
  <c r="AL51" i="2"/>
  <c r="AS51" i="2"/>
  <c r="AP52" i="2"/>
  <c r="AQ52" i="2" s="1"/>
  <c r="AO51" i="2"/>
  <c r="AN51" i="2"/>
  <c r="AF51" i="2"/>
  <c r="AI51" i="2" s="1"/>
  <c r="AG51" i="2"/>
  <c r="AL53" i="4" l="1"/>
  <c r="AE53" i="2"/>
  <c r="AL52" i="2"/>
  <c r="AR52" i="2"/>
  <c r="AS52" i="2"/>
  <c r="AP53" i="2"/>
  <c r="AQ53" i="2" s="1"/>
  <c r="AO52" i="2"/>
  <c r="AN52" i="2"/>
  <c r="AF52" i="2"/>
  <c r="AI52" i="2" s="1"/>
  <c r="AG52" i="2"/>
  <c r="AL54" i="4" l="1"/>
  <c r="AE54" i="2"/>
  <c r="AL53" i="2"/>
  <c r="AR53" i="2"/>
  <c r="AS53" i="2"/>
  <c r="AP54" i="2"/>
  <c r="AQ54" i="2" s="1"/>
  <c r="AO53" i="2"/>
  <c r="AN53" i="2"/>
  <c r="AF53" i="2"/>
  <c r="AI53" i="2" s="1"/>
  <c r="AG53" i="2"/>
  <c r="AL55" i="4" l="1"/>
  <c r="AE55" i="2"/>
  <c r="AL54" i="2"/>
  <c r="AR54" i="2"/>
  <c r="AS54" i="2"/>
  <c r="AP55" i="2"/>
  <c r="AQ55" i="2" s="1"/>
  <c r="AO54" i="2"/>
  <c r="AN54" i="2"/>
  <c r="AF54" i="2"/>
  <c r="AI54" i="2" s="1"/>
  <c r="AG54" i="2"/>
  <c r="AL56" i="4" l="1"/>
  <c r="AE56" i="2"/>
  <c r="AL55" i="2"/>
  <c r="AR55" i="2"/>
  <c r="AS55" i="2"/>
  <c r="AP56" i="2"/>
  <c r="AQ56" i="2" s="1"/>
  <c r="AO55" i="2"/>
  <c r="AN55" i="2"/>
  <c r="AF55" i="2"/>
  <c r="AI55" i="2" s="1"/>
  <c r="AG55" i="2"/>
  <c r="AL57" i="4" l="1"/>
  <c r="AE57" i="2"/>
  <c r="AL56" i="2"/>
  <c r="AR56" i="2"/>
  <c r="AS56" i="2"/>
  <c r="AP57" i="2"/>
  <c r="AQ57" i="2" s="1"/>
  <c r="AO56" i="2"/>
  <c r="AN56" i="2"/>
  <c r="AF56" i="2"/>
  <c r="AI56" i="2" s="1"/>
  <c r="AG56" i="2"/>
  <c r="AL58" i="4" l="1"/>
  <c r="AE58" i="2"/>
  <c r="AL57" i="2"/>
  <c r="AR57" i="2"/>
  <c r="AS57" i="2"/>
  <c r="AP58" i="2"/>
  <c r="AQ58" i="2" s="1"/>
  <c r="AO57" i="2"/>
  <c r="AN57" i="2"/>
  <c r="AF57" i="2"/>
  <c r="AI57" i="2" s="1"/>
  <c r="AG57" i="2"/>
  <c r="AL59" i="4" l="1"/>
  <c r="AE59" i="2"/>
  <c r="AR58" i="2"/>
  <c r="AL58" i="2"/>
  <c r="AS58" i="2"/>
  <c r="AO58" i="2"/>
  <c r="AP59" i="2"/>
  <c r="AQ59" i="2" s="1"/>
  <c r="AN58" i="2"/>
  <c r="AF58" i="2"/>
  <c r="AI58" i="2" s="1"/>
  <c r="AG58" i="2"/>
  <c r="AL60" i="4" l="1"/>
  <c r="AE60" i="2"/>
  <c r="AR59" i="2"/>
  <c r="AL59" i="2"/>
  <c r="AS59" i="2"/>
  <c r="AO59" i="2"/>
  <c r="AP60" i="2"/>
  <c r="AQ60" i="2" s="1"/>
  <c r="AN59" i="2"/>
  <c r="AF59" i="2"/>
  <c r="AI59" i="2" s="1"/>
  <c r="AG59" i="2"/>
  <c r="AL61" i="4" l="1"/>
  <c r="AE61" i="2"/>
  <c r="AR60" i="2"/>
  <c r="AL60" i="2"/>
  <c r="AS60" i="2"/>
  <c r="AP61" i="2"/>
  <c r="AQ61" i="2" s="1"/>
  <c r="AO60" i="2"/>
  <c r="AN60" i="2"/>
  <c r="AF60" i="2"/>
  <c r="AI60" i="2" s="1"/>
  <c r="AG60" i="2"/>
  <c r="AL62" i="4" l="1"/>
  <c r="AE62" i="2"/>
  <c r="AL61" i="2"/>
  <c r="AR61" i="2"/>
  <c r="AS61" i="2"/>
  <c r="AO61" i="2"/>
  <c r="AP62" i="2"/>
  <c r="AQ62" i="2" s="1"/>
  <c r="AN61" i="2"/>
  <c r="AF61" i="2"/>
  <c r="AI61" i="2" s="1"/>
  <c r="AG61" i="2"/>
  <c r="AL63" i="4" l="1"/>
  <c r="AE63" i="2"/>
  <c r="AL62" i="2"/>
  <c r="AR62" i="2"/>
  <c r="AS62" i="2"/>
  <c r="AP63" i="2"/>
  <c r="AQ63" i="2" s="1"/>
  <c r="AO62" i="2"/>
  <c r="AN62" i="2"/>
  <c r="AF62" i="2"/>
  <c r="AI62" i="2" s="1"/>
  <c r="AG62" i="2"/>
  <c r="AL64" i="4" l="1"/>
  <c r="AE64" i="2"/>
  <c r="AR63" i="2"/>
  <c r="AL63" i="2"/>
  <c r="AS63" i="2"/>
  <c r="AO63" i="2"/>
  <c r="AP64" i="2"/>
  <c r="AQ64" i="2" s="1"/>
  <c r="AN63" i="2"/>
  <c r="AF63" i="2"/>
  <c r="AI63" i="2" s="1"/>
  <c r="AG63" i="2"/>
  <c r="AL65" i="4" l="1"/>
  <c r="AE65" i="2"/>
  <c r="AL64" i="2"/>
  <c r="AR64" i="2"/>
  <c r="AS64" i="2"/>
  <c r="AP65" i="2"/>
  <c r="AQ65" i="2" s="1"/>
  <c r="AO64" i="2"/>
  <c r="AN64" i="2"/>
  <c r="AF64" i="2"/>
  <c r="AI64" i="2" s="1"/>
  <c r="AG64" i="2"/>
  <c r="AL66" i="4" l="1"/>
  <c r="AE66" i="2"/>
  <c r="AL65" i="2"/>
  <c r="AR65" i="2"/>
  <c r="AS65" i="2"/>
  <c r="AP66" i="2"/>
  <c r="AQ66" i="2" s="1"/>
  <c r="AO65" i="2"/>
  <c r="AN65" i="2"/>
  <c r="AF65" i="2"/>
  <c r="AI65" i="2" s="1"/>
  <c r="AG65" i="2"/>
  <c r="AL67" i="4" l="1"/>
  <c r="AE67" i="2"/>
  <c r="AR66" i="2"/>
  <c r="AL66" i="2"/>
  <c r="AS66" i="2"/>
  <c r="AP67" i="2"/>
  <c r="AQ67" i="2" s="1"/>
  <c r="AO66" i="2"/>
  <c r="AN66" i="2"/>
  <c r="AF66" i="2"/>
  <c r="AI66" i="2" s="1"/>
  <c r="AG66" i="2"/>
  <c r="AL68" i="4" l="1"/>
  <c r="AE68" i="2"/>
  <c r="AR67" i="2"/>
  <c r="AL67" i="2"/>
  <c r="AS67" i="2"/>
  <c r="AP68" i="2"/>
  <c r="AQ68" i="2" s="1"/>
  <c r="AO67" i="2"/>
  <c r="AN67" i="2"/>
  <c r="AF67" i="2"/>
  <c r="AI67" i="2" s="1"/>
  <c r="AG67" i="2"/>
  <c r="AL69" i="4" l="1"/>
  <c r="AE69" i="2"/>
  <c r="AR68" i="2"/>
  <c r="AL68" i="2"/>
  <c r="AS68" i="2"/>
  <c r="AP69" i="2"/>
  <c r="AQ69" i="2" s="1"/>
  <c r="AO68" i="2"/>
  <c r="AN68" i="2"/>
  <c r="AF68" i="2"/>
  <c r="AI68" i="2" s="1"/>
  <c r="AG68" i="2"/>
  <c r="AL70" i="4" l="1"/>
  <c r="AE70" i="2"/>
  <c r="AL69" i="2"/>
  <c r="AR69" i="2"/>
  <c r="AS69" i="2"/>
  <c r="AO69" i="2"/>
  <c r="AP70" i="2"/>
  <c r="AQ70" i="2" s="1"/>
  <c r="AN69" i="2"/>
  <c r="AF69" i="2"/>
  <c r="AI69" i="2" s="1"/>
  <c r="AG69" i="2"/>
  <c r="AL71" i="4" l="1"/>
  <c r="AE71" i="2"/>
  <c r="AL70" i="2"/>
  <c r="AR70" i="2"/>
  <c r="AS70" i="2"/>
  <c r="AO70" i="2"/>
  <c r="AP71" i="2"/>
  <c r="AQ71" i="2" s="1"/>
  <c r="AF70" i="2"/>
  <c r="AI70" i="2" s="1"/>
  <c r="AG70" i="2"/>
  <c r="AL72" i="4" l="1"/>
  <c r="AE72" i="2"/>
  <c r="AR71" i="2"/>
  <c r="AL71" i="2"/>
  <c r="AS71" i="2"/>
  <c r="AN70" i="2"/>
  <c r="AO71" i="2"/>
  <c r="AP72" i="2"/>
  <c r="AQ72" i="2" s="1"/>
  <c r="AF71" i="2"/>
  <c r="AI71" i="2" s="1"/>
  <c r="AG71" i="2"/>
  <c r="AL73" i="4" l="1"/>
  <c r="AE73" i="2"/>
  <c r="AL72" i="2"/>
  <c r="AR72" i="2"/>
  <c r="AS72" i="2"/>
  <c r="AN71" i="2"/>
  <c r="AP73" i="2"/>
  <c r="AQ73" i="2" s="1"/>
  <c r="AO72" i="2"/>
  <c r="AN72" i="2"/>
  <c r="AF72" i="2"/>
  <c r="AI72" i="2" s="1"/>
  <c r="AG72" i="2"/>
  <c r="AL74" i="4" l="1"/>
  <c r="AE74" i="2"/>
  <c r="AL73" i="2"/>
  <c r="AR73" i="2"/>
  <c r="AS73" i="2"/>
  <c r="AP74" i="2"/>
  <c r="AQ74" i="2" s="1"/>
  <c r="AO73" i="2"/>
  <c r="AN73" i="2"/>
  <c r="AF73" i="2"/>
  <c r="AI73" i="2" s="1"/>
  <c r="AG73" i="2"/>
  <c r="AL75" i="4" l="1"/>
  <c r="AE75" i="2"/>
  <c r="AR74" i="2"/>
  <c r="AL74" i="2"/>
  <c r="AS74" i="2"/>
  <c r="AP75" i="2"/>
  <c r="AQ75" i="2" s="1"/>
  <c r="AO74" i="2"/>
  <c r="AN74" i="2"/>
  <c r="AF74" i="2"/>
  <c r="AI74" i="2" s="1"/>
  <c r="AG74" i="2"/>
  <c r="AL76" i="4" l="1"/>
  <c r="AE76" i="2"/>
  <c r="AR75" i="2"/>
  <c r="AL75" i="2"/>
  <c r="AS75" i="2"/>
  <c r="AO75" i="2"/>
  <c r="AP76" i="2"/>
  <c r="AQ76" i="2" s="1"/>
  <c r="AF75" i="2"/>
  <c r="AI75" i="2" s="1"/>
  <c r="AG75" i="2"/>
  <c r="AL77" i="4" l="1"/>
  <c r="AE77" i="2"/>
  <c r="AR76" i="2"/>
  <c r="AL76" i="2"/>
  <c r="AS76" i="2"/>
  <c r="AN75" i="2"/>
  <c r="AO76" i="2"/>
  <c r="AP77" i="2"/>
  <c r="AQ77" i="2" s="1"/>
  <c r="AF76" i="2"/>
  <c r="AI76" i="2" s="1"/>
  <c r="AG76" i="2"/>
  <c r="AL78" i="4" l="1"/>
  <c r="AE78" i="2"/>
  <c r="AL77" i="2"/>
  <c r="AR77" i="2"/>
  <c r="AS77" i="2"/>
  <c r="AN76" i="2"/>
  <c r="AO77" i="2"/>
  <c r="AP78" i="2"/>
  <c r="AQ78" i="2" s="1"/>
  <c r="AN77" i="2"/>
  <c r="AF77" i="2"/>
  <c r="AI77" i="2" s="1"/>
  <c r="AG77" i="2"/>
  <c r="AL79" i="4" l="1"/>
  <c r="AE79" i="2"/>
  <c r="AL78" i="2"/>
  <c r="AR78" i="2"/>
  <c r="AS78" i="2"/>
  <c r="AP79" i="2"/>
  <c r="AQ79" i="2" s="1"/>
  <c r="AO78" i="2"/>
  <c r="AN78" i="2"/>
  <c r="AF78" i="2"/>
  <c r="AI78" i="2" s="1"/>
  <c r="AG78" i="2"/>
  <c r="AL80" i="4" l="1"/>
  <c r="AE80" i="2"/>
  <c r="AR79" i="2"/>
  <c r="AL79" i="2"/>
  <c r="AS79" i="2"/>
  <c r="AP80" i="2"/>
  <c r="AQ80" i="2" s="1"/>
  <c r="AO79" i="2"/>
  <c r="AN79" i="2"/>
  <c r="AF79" i="2"/>
  <c r="AI79" i="2" s="1"/>
  <c r="AG79" i="2"/>
  <c r="AL81" i="4" l="1"/>
  <c r="AE81" i="2"/>
  <c r="AL80" i="2"/>
  <c r="AR80" i="2"/>
  <c r="AS80" i="2"/>
  <c r="AO80" i="2"/>
  <c r="AP81" i="2"/>
  <c r="AQ81" i="2" s="1"/>
  <c r="AN80" i="2"/>
  <c r="AF80" i="2"/>
  <c r="AI80" i="2" s="1"/>
  <c r="AG80" i="2"/>
  <c r="AL82" i="4" l="1"/>
  <c r="AE82" i="2"/>
  <c r="AL81" i="2"/>
  <c r="AR81" i="2"/>
  <c r="AS81" i="2"/>
  <c r="AP82" i="2"/>
  <c r="AQ82" i="2" s="1"/>
  <c r="AO81" i="2"/>
  <c r="AN81" i="2"/>
  <c r="AF81" i="2"/>
  <c r="AI81" i="2" s="1"/>
  <c r="AG81" i="2"/>
  <c r="AL83" i="4" l="1"/>
  <c r="AE84" i="4"/>
  <c r="AF83" i="4"/>
  <c r="AI83" i="4" s="1"/>
  <c r="AR83" i="4"/>
  <c r="AE83" i="2"/>
  <c r="AR82" i="2"/>
  <c r="AL82" i="2"/>
  <c r="AS82" i="2"/>
  <c r="AO82" i="2"/>
  <c r="AP83" i="2"/>
  <c r="AQ83" i="2" s="1"/>
  <c r="AF82" i="2"/>
  <c r="AI82" i="2" s="1"/>
  <c r="AG82" i="2"/>
  <c r="AP83" i="4" l="1"/>
  <c r="AF84" i="4"/>
  <c r="AI84" i="4" s="1"/>
  <c r="AE85" i="4"/>
  <c r="AL84" i="4"/>
  <c r="AR84" i="4"/>
  <c r="AO83" i="4"/>
  <c r="AN83" i="4"/>
  <c r="AE84" i="2"/>
  <c r="AL83" i="2"/>
  <c r="AN83" i="2" s="1"/>
  <c r="AR83" i="2"/>
  <c r="AS83" i="2"/>
  <c r="AN82" i="2"/>
  <c r="AP84" i="2"/>
  <c r="AQ84" i="2" s="1"/>
  <c r="AO83" i="2"/>
  <c r="AF83" i="2"/>
  <c r="AI83" i="2" s="1"/>
  <c r="AG83" i="2"/>
  <c r="AQ83" i="4" l="1"/>
  <c r="AS83" i="4" s="1"/>
  <c r="AP84" i="4"/>
  <c r="AO84" i="4"/>
  <c r="AN84" i="4"/>
  <c r="AG85" i="4"/>
  <c r="AF85" i="4"/>
  <c r="AI85" i="4" s="1"/>
  <c r="AL85" i="4"/>
  <c r="AE86" i="4"/>
  <c r="AR85" i="4"/>
  <c r="AE85" i="2"/>
  <c r="AR84" i="2"/>
  <c r="AL84" i="2"/>
  <c r="AS84" i="2"/>
  <c r="AO84" i="2"/>
  <c r="AP85" i="2"/>
  <c r="AQ85" i="2" s="1"/>
  <c r="AF84" i="2"/>
  <c r="AI84" i="2" s="1"/>
  <c r="AG84" i="2"/>
  <c r="AO85" i="4" l="1"/>
  <c r="AN85" i="4"/>
  <c r="AP85" i="4"/>
  <c r="AQ84" i="4"/>
  <c r="AS84" i="4" s="1"/>
  <c r="AE87" i="4"/>
  <c r="AR86" i="4"/>
  <c r="AG86" i="4"/>
  <c r="AF86" i="4"/>
  <c r="AI86" i="4" s="1"/>
  <c r="AL86" i="4"/>
  <c r="AE86" i="2"/>
  <c r="AR85" i="2"/>
  <c r="AL85" i="2"/>
  <c r="AN85" i="2" s="1"/>
  <c r="AS85" i="2"/>
  <c r="AN84" i="2"/>
  <c r="AO85" i="2"/>
  <c r="AP86" i="2"/>
  <c r="AQ86" i="2" s="1"/>
  <c r="AF85" i="2"/>
  <c r="AI85" i="2" s="1"/>
  <c r="AG85" i="2"/>
  <c r="AL87" i="4" l="1"/>
  <c r="AE88" i="4"/>
  <c r="AF87" i="4"/>
  <c r="AI87" i="4" s="1"/>
  <c r="AR87" i="4"/>
  <c r="AG87" i="4"/>
  <c r="AQ85" i="4"/>
  <c r="AS85" i="4" s="1"/>
  <c r="AP86" i="4"/>
  <c r="AN86" i="4"/>
  <c r="AO86" i="4"/>
  <c r="AE87" i="2"/>
  <c r="AL86" i="2"/>
  <c r="AR86" i="2"/>
  <c r="AS86" i="2"/>
  <c r="AO86" i="2"/>
  <c r="AP87" i="2"/>
  <c r="AQ87" i="2" s="1"/>
  <c r="AN86" i="2"/>
  <c r="AF86" i="2"/>
  <c r="AI86" i="2" s="1"/>
  <c r="AG86" i="2"/>
  <c r="AQ86" i="4" l="1"/>
  <c r="AS86" i="4" s="1"/>
  <c r="AP87" i="4"/>
  <c r="AG88" i="4"/>
  <c r="AF88" i="4"/>
  <c r="AI88" i="4" s="1"/>
  <c r="AL88" i="4"/>
  <c r="AE89" i="4"/>
  <c r="AR88" i="4"/>
  <c r="AO87" i="4"/>
  <c r="AN87" i="4"/>
  <c r="AE88" i="2"/>
  <c r="AR87" i="2"/>
  <c r="AL87" i="2"/>
  <c r="AS87" i="2"/>
  <c r="AO87" i="2"/>
  <c r="AP88" i="2"/>
  <c r="AQ88" i="2" s="1"/>
  <c r="AN87" i="2"/>
  <c r="AF87" i="2"/>
  <c r="AI87" i="2" s="1"/>
  <c r="AG87" i="2"/>
  <c r="AQ87" i="4" l="1"/>
  <c r="AS87" i="4" s="1"/>
  <c r="AP88" i="4"/>
  <c r="AG89" i="4"/>
  <c r="AF89" i="4"/>
  <c r="AI89" i="4" s="1"/>
  <c r="AL89" i="4"/>
  <c r="AE90" i="4"/>
  <c r="AR89" i="4"/>
  <c r="AO88" i="4"/>
  <c r="AN88" i="4"/>
  <c r="AE89" i="2"/>
  <c r="AL88" i="2"/>
  <c r="AR88" i="2"/>
  <c r="AS88" i="2"/>
  <c r="AP89" i="2"/>
  <c r="AQ89" i="2" s="1"/>
  <c r="AO88" i="2"/>
  <c r="AN88" i="2"/>
  <c r="AF88" i="2"/>
  <c r="AI88" i="2" s="1"/>
  <c r="AG88" i="2"/>
  <c r="AE91" i="4" l="1"/>
  <c r="AR90" i="4"/>
  <c r="AG90" i="4"/>
  <c r="AL90" i="4"/>
  <c r="AF90" i="4"/>
  <c r="AI90" i="4" s="1"/>
  <c r="AO89" i="4"/>
  <c r="AN89" i="4"/>
  <c r="AP89" i="4"/>
  <c r="AQ88" i="4"/>
  <c r="AS88" i="4" s="1"/>
  <c r="AE90" i="2"/>
  <c r="AL89" i="2"/>
  <c r="AR89" i="2"/>
  <c r="AS89" i="2"/>
  <c r="AP90" i="2"/>
  <c r="AQ90" i="2" s="1"/>
  <c r="AO89" i="2"/>
  <c r="AN89" i="2"/>
  <c r="AF89" i="2"/>
  <c r="AI89" i="2" s="1"/>
  <c r="AG89" i="2"/>
  <c r="AQ89" i="4" l="1"/>
  <c r="AS89" i="4" s="1"/>
  <c r="AP90" i="4"/>
  <c r="AO90" i="4"/>
  <c r="AN90" i="4"/>
  <c r="AL91" i="4"/>
  <c r="AE92" i="4"/>
  <c r="AR91" i="4"/>
  <c r="AG91" i="4"/>
  <c r="AF91" i="4"/>
  <c r="AI91" i="4" s="1"/>
  <c r="AE91" i="2"/>
  <c r="AL90" i="2"/>
  <c r="AR90" i="2"/>
  <c r="AS90" i="2"/>
  <c r="AP91" i="2"/>
  <c r="AQ91" i="2" s="1"/>
  <c r="AO90" i="2"/>
  <c r="AN90" i="2"/>
  <c r="AF90" i="2"/>
  <c r="AI90" i="2" s="1"/>
  <c r="AG90" i="2"/>
  <c r="AQ90" i="4" l="1"/>
  <c r="AS90" i="4" s="1"/>
  <c r="AP91" i="4"/>
  <c r="AG92" i="4"/>
  <c r="AF92" i="4"/>
  <c r="AI92" i="4" s="1"/>
  <c r="AL92" i="4"/>
  <c r="AR92" i="4"/>
  <c r="AE93" i="4"/>
  <c r="AO91" i="4"/>
  <c r="AN91" i="4"/>
  <c r="AE92" i="2"/>
  <c r="AL91" i="2"/>
  <c r="AR91" i="2"/>
  <c r="AS91" i="2"/>
  <c r="AO91" i="2"/>
  <c r="AP92" i="2"/>
  <c r="AQ92" i="2" s="1"/>
  <c r="AF91" i="2"/>
  <c r="AI91" i="2" s="1"/>
  <c r="AG91" i="2"/>
  <c r="AP92" i="4" l="1"/>
  <c r="AQ91" i="4"/>
  <c r="AS91" i="4" s="1"/>
  <c r="AG93" i="4"/>
  <c r="AL93" i="4"/>
  <c r="AE94" i="4"/>
  <c r="AR93" i="4"/>
  <c r="AF93" i="4"/>
  <c r="AI93" i="4" s="1"/>
  <c r="AO92" i="4"/>
  <c r="AN92" i="4"/>
  <c r="AE93" i="2"/>
  <c r="AR92" i="2"/>
  <c r="AL92" i="2"/>
  <c r="AN92" i="2" s="1"/>
  <c r="AS92" i="2"/>
  <c r="AN91" i="2"/>
  <c r="AP93" i="2"/>
  <c r="AQ93" i="2" s="1"/>
  <c r="AO92" i="2"/>
  <c r="AF92" i="2"/>
  <c r="AI92" i="2" s="1"/>
  <c r="AG92" i="2"/>
  <c r="AE95" i="4" l="1"/>
  <c r="AR94" i="4"/>
  <c r="AL94" i="4"/>
  <c r="AF94" i="4"/>
  <c r="AI94" i="4" s="1"/>
  <c r="AG94" i="4"/>
  <c r="AO93" i="4"/>
  <c r="AN93" i="4"/>
  <c r="AP93" i="4"/>
  <c r="AQ92" i="4"/>
  <c r="AS92" i="4" s="1"/>
  <c r="AE94" i="2"/>
  <c r="AR93" i="2"/>
  <c r="AL93" i="2"/>
  <c r="AS93" i="2"/>
  <c r="AP94" i="2"/>
  <c r="AQ94" i="2" s="1"/>
  <c r="AO93" i="2"/>
  <c r="AN93" i="2"/>
  <c r="AF93" i="2"/>
  <c r="AI93" i="2" s="1"/>
  <c r="AG93" i="2"/>
  <c r="AQ93" i="4" l="1"/>
  <c r="AS93" i="4" s="1"/>
  <c r="AP94" i="4"/>
  <c r="AN94" i="4"/>
  <c r="AO94" i="4"/>
  <c r="AE96" i="4"/>
  <c r="AR95" i="4"/>
  <c r="AL95" i="4"/>
  <c r="AG95" i="4"/>
  <c r="AF95" i="4"/>
  <c r="AI95" i="4" s="1"/>
  <c r="AE95" i="2"/>
  <c r="AR94" i="2"/>
  <c r="AL94" i="2"/>
  <c r="AS94" i="2"/>
  <c r="AO94" i="2"/>
  <c r="AP95" i="2"/>
  <c r="AQ95" i="2" s="1"/>
  <c r="AN94" i="2"/>
  <c r="AF94" i="2"/>
  <c r="AI94" i="2" s="1"/>
  <c r="AG94" i="2"/>
  <c r="AO95" i="4" l="1"/>
  <c r="AN95" i="4"/>
  <c r="AL96" i="4"/>
  <c r="AG96" i="4"/>
  <c r="AE97" i="4"/>
  <c r="AR96" i="4"/>
  <c r="AF96" i="4"/>
  <c r="AI96" i="4" s="1"/>
  <c r="AQ94" i="4"/>
  <c r="AS94" i="4" s="1"/>
  <c r="AP95" i="4"/>
  <c r="AE96" i="2"/>
  <c r="AR95" i="2"/>
  <c r="AL95" i="2"/>
  <c r="AS95" i="2"/>
  <c r="AO95" i="2"/>
  <c r="AP96" i="2"/>
  <c r="AQ96" i="2" s="1"/>
  <c r="AN95" i="2"/>
  <c r="AF95" i="2"/>
  <c r="AI95" i="2" s="1"/>
  <c r="AG95" i="2"/>
  <c r="AG97" i="4" l="1"/>
  <c r="AF97" i="4"/>
  <c r="AI97" i="4" s="1"/>
  <c r="AL97" i="4"/>
  <c r="AE98" i="4"/>
  <c r="AR97" i="4"/>
  <c r="AN96" i="4"/>
  <c r="AO96" i="4"/>
  <c r="AQ95" i="4"/>
  <c r="AS95" i="4" s="1"/>
  <c r="AP96" i="4"/>
  <c r="AE97" i="2"/>
  <c r="AL96" i="2"/>
  <c r="AR96" i="2"/>
  <c r="AS96" i="2"/>
  <c r="AO96" i="2"/>
  <c r="AP97" i="2"/>
  <c r="AQ97" i="2" s="1"/>
  <c r="AF96" i="2"/>
  <c r="AI96" i="2" s="1"/>
  <c r="AG96" i="2"/>
  <c r="AO97" i="4" l="1"/>
  <c r="AN97" i="4"/>
  <c r="AG98" i="4"/>
  <c r="AR98" i="4"/>
  <c r="AF98" i="4"/>
  <c r="AI98" i="4" s="1"/>
  <c r="AL98" i="4"/>
  <c r="AE99" i="4"/>
  <c r="AP97" i="4"/>
  <c r="AQ96" i="4"/>
  <c r="AS96" i="4" s="1"/>
  <c r="AE98" i="2"/>
  <c r="AL97" i="2"/>
  <c r="AR97" i="2"/>
  <c r="AS97" i="2"/>
  <c r="AN96" i="2"/>
  <c r="AP98" i="2"/>
  <c r="AQ98" i="2" s="1"/>
  <c r="AO97" i="2"/>
  <c r="AN97" i="2"/>
  <c r="AF97" i="2"/>
  <c r="AI97" i="2" s="1"/>
  <c r="AG97" i="2"/>
  <c r="AE100" i="4" l="1"/>
  <c r="AR99" i="4"/>
  <c r="AL99" i="4"/>
  <c r="AG99" i="4"/>
  <c r="AF99" i="4"/>
  <c r="AI99" i="4" s="1"/>
  <c r="AP98" i="4"/>
  <c r="AQ97" i="4"/>
  <c r="AS97" i="4" s="1"/>
  <c r="AO98" i="4"/>
  <c r="AN98" i="4"/>
  <c r="AE99" i="2"/>
  <c r="AL98" i="2"/>
  <c r="AR98" i="2"/>
  <c r="AS98" i="2"/>
  <c r="AP99" i="2"/>
  <c r="AQ99" i="2" s="1"/>
  <c r="AO98" i="2"/>
  <c r="AN98" i="2"/>
  <c r="AF98" i="2"/>
  <c r="AI98" i="2" s="1"/>
  <c r="AG98" i="2"/>
  <c r="AQ98" i="4" l="1"/>
  <c r="AS98" i="4" s="1"/>
  <c r="AP99" i="4"/>
  <c r="AN99" i="4"/>
  <c r="AO99" i="4"/>
  <c r="AL100" i="4"/>
  <c r="AR100" i="4"/>
  <c r="AF100" i="4"/>
  <c r="AI100" i="4" s="1"/>
  <c r="AG100" i="4"/>
  <c r="AE101" i="4"/>
  <c r="AE100" i="2"/>
  <c r="AR99" i="2"/>
  <c r="AL99" i="2"/>
  <c r="AS99" i="2"/>
  <c r="AO99" i="2"/>
  <c r="AP100" i="2"/>
  <c r="AQ100" i="2" s="1"/>
  <c r="AN99" i="2"/>
  <c r="AF99" i="2"/>
  <c r="AI99" i="2" s="1"/>
  <c r="AG99" i="2"/>
  <c r="AN100" i="4" l="1"/>
  <c r="AO100" i="4"/>
  <c r="AP100" i="4"/>
  <c r="AQ99" i="4"/>
  <c r="AS99" i="4" s="1"/>
  <c r="AG101" i="4"/>
  <c r="AF101" i="4"/>
  <c r="AI101" i="4" s="1"/>
  <c r="AL101" i="4"/>
  <c r="AE102" i="4"/>
  <c r="AR101" i="4"/>
  <c r="AE101" i="2"/>
  <c r="AR100" i="2"/>
  <c r="AL100" i="2"/>
  <c r="AS100" i="2"/>
  <c r="AO100" i="2"/>
  <c r="AP101" i="2"/>
  <c r="AQ101" i="2" s="1"/>
  <c r="AF100" i="2"/>
  <c r="AI100" i="2" s="1"/>
  <c r="AG100" i="2"/>
  <c r="AO101" i="4" l="1"/>
  <c r="AN101" i="4"/>
  <c r="AG102" i="4"/>
  <c r="AR102" i="4"/>
  <c r="AF102" i="4"/>
  <c r="AI102" i="4" s="1"/>
  <c r="AE103" i="4"/>
  <c r="AL102" i="4"/>
  <c r="AP101" i="4"/>
  <c r="AQ100" i="4"/>
  <c r="AS100" i="4" s="1"/>
  <c r="AE102" i="2"/>
  <c r="AL101" i="2"/>
  <c r="AR101" i="2"/>
  <c r="AS101" i="2"/>
  <c r="AN100" i="2"/>
  <c r="AP102" i="2"/>
  <c r="AQ102" i="2" s="1"/>
  <c r="AO101" i="2"/>
  <c r="AN101" i="2"/>
  <c r="AF101" i="2"/>
  <c r="AI101" i="2" s="1"/>
  <c r="AG101" i="2"/>
  <c r="AP102" i="4" l="1"/>
  <c r="AQ101" i="4"/>
  <c r="AS101" i="4" s="1"/>
  <c r="AO102" i="4"/>
  <c r="AN102" i="4"/>
  <c r="AE104" i="4"/>
  <c r="AR103" i="4"/>
  <c r="AL103" i="4"/>
  <c r="AF103" i="4"/>
  <c r="AI103" i="4" s="1"/>
  <c r="AG103" i="4"/>
  <c r="AE103" i="2"/>
  <c r="AR102" i="2"/>
  <c r="AL102" i="2"/>
  <c r="AS102" i="2"/>
  <c r="AO102" i="2"/>
  <c r="AP103" i="2"/>
  <c r="AQ103" i="2" s="1"/>
  <c r="AN102" i="2"/>
  <c r="AF102" i="2"/>
  <c r="AI102" i="2" s="1"/>
  <c r="AG102" i="2"/>
  <c r="AO103" i="4" l="1"/>
  <c r="AN103" i="4"/>
  <c r="AL104" i="4"/>
  <c r="AF104" i="4"/>
  <c r="AI104" i="4" s="1"/>
  <c r="AR104" i="4"/>
  <c r="AG104" i="4"/>
  <c r="AE105" i="4"/>
  <c r="AQ102" i="4"/>
  <c r="AS102" i="4" s="1"/>
  <c r="AP103" i="4"/>
  <c r="AE104" i="2"/>
  <c r="AR103" i="2"/>
  <c r="AL103" i="2"/>
  <c r="AS103" i="2"/>
  <c r="AO103" i="2"/>
  <c r="AP104" i="2"/>
  <c r="AQ104" i="2" s="1"/>
  <c r="AN103" i="2"/>
  <c r="AF103" i="2"/>
  <c r="AI103" i="2" s="1"/>
  <c r="AG103" i="2"/>
  <c r="AG105" i="4" l="1"/>
  <c r="AF105" i="4"/>
  <c r="AI105" i="4" s="1"/>
  <c r="AL105" i="4"/>
  <c r="AR105" i="4"/>
  <c r="AE106" i="4"/>
  <c r="AN104" i="4"/>
  <c r="AO104" i="4"/>
  <c r="AQ103" i="4"/>
  <c r="AS103" i="4" s="1"/>
  <c r="AP104" i="4"/>
  <c r="AE105" i="2"/>
  <c r="AL104" i="2"/>
  <c r="AR104" i="2"/>
  <c r="AS104" i="2"/>
  <c r="AO104" i="2"/>
  <c r="AP105" i="2"/>
  <c r="AQ105" i="2" s="1"/>
  <c r="AF104" i="2"/>
  <c r="AI104" i="2" s="1"/>
  <c r="AG104" i="2"/>
  <c r="AO105" i="4" l="1"/>
  <c r="AN105" i="4"/>
  <c r="AR106" i="4"/>
  <c r="AL106" i="4"/>
  <c r="AE107" i="4"/>
  <c r="AG106" i="4"/>
  <c r="AF106" i="4"/>
  <c r="AI106" i="4" s="1"/>
  <c r="AP105" i="4"/>
  <c r="AQ104" i="4"/>
  <c r="AS104" i="4" s="1"/>
  <c r="AE106" i="2"/>
  <c r="AR105" i="2"/>
  <c r="AL105" i="2"/>
  <c r="AS105" i="2"/>
  <c r="AN104" i="2"/>
  <c r="AN105" i="2"/>
  <c r="AP106" i="2"/>
  <c r="AQ106" i="2" s="1"/>
  <c r="AO105" i="2"/>
  <c r="AF105" i="2"/>
  <c r="AI105" i="2" s="1"/>
  <c r="AG105" i="2"/>
  <c r="AP106" i="4" l="1"/>
  <c r="AQ105" i="4"/>
  <c r="AS105" i="4" s="1"/>
  <c r="AE108" i="4"/>
  <c r="AR107" i="4"/>
  <c r="AL107" i="4"/>
  <c r="AG107" i="4"/>
  <c r="AF107" i="4"/>
  <c r="AI107" i="4" s="1"/>
  <c r="AO106" i="4"/>
  <c r="AN106" i="4"/>
  <c r="AE107" i="2"/>
  <c r="AR106" i="2"/>
  <c r="AL106" i="2"/>
  <c r="AS106" i="2"/>
  <c r="AP107" i="2"/>
  <c r="AQ107" i="2" s="1"/>
  <c r="AO106" i="2"/>
  <c r="AN106" i="2"/>
  <c r="AF106" i="2"/>
  <c r="AI106" i="2" s="1"/>
  <c r="AG106" i="2"/>
  <c r="AL108" i="4" l="1"/>
  <c r="AE109" i="4"/>
  <c r="AF108" i="4"/>
  <c r="AI108" i="4" s="1"/>
  <c r="AR108" i="4"/>
  <c r="AG108" i="4"/>
  <c r="AO107" i="4"/>
  <c r="AN107" i="4"/>
  <c r="AQ106" i="4"/>
  <c r="AS106" i="4" s="1"/>
  <c r="AP107" i="4"/>
  <c r="AE108" i="2"/>
  <c r="AR107" i="2"/>
  <c r="AL107" i="2"/>
  <c r="AS107" i="2"/>
  <c r="AP108" i="2"/>
  <c r="AQ108" i="2" s="1"/>
  <c r="AO107" i="2"/>
  <c r="AN107" i="2"/>
  <c r="AF107" i="2"/>
  <c r="AI107" i="2" s="1"/>
  <c r="AG107" i="2"/>
  <c r="AG109" i="4" l="1"/>
  <c r="AF109" i="4"/>
  <c r="AI109" i="4" s="1"/>
  <c r="AL109" i="4"/>
  <c r="AR109" i="4"/>
  <c r="AE110" i="4"/>
  <c r="AQ107" i="4"/>
  <c r="AS107" i="4" s="1"/>
  <c r="AP108" i="4"/>
  <c r="AN108" i="4"/>
  <c r="AO108" i="4"/>
  <c r="AE109" i="2"/>
  <c r="AL108" i="2"/>
  <c r="AR108" i="2"/>
  <c r="AS108" i="2"/>
  <c r="AP109" i="2"/>
  <c r="AQ109" i="2" s="1"/>
  <c r="AO108" i="2"/>
  <c r="AN108" i="2"/>
  <c r="AF108" i="2"/>
  <c r="AI108" i="2" s="1"/>
  <c r="AG108" i="2"/>
  <c r="AP109" i="4" l="1"/>
  <c r="AQ108" i="4"/>
  <c r="AS108" i="4" s="1"/>
  <c r="AG110" i="4"/>
  <c r="AR110" i="4"/>
  <c r="AE111" i="4"/>
  <c r="AL110" i="4"/>
  <c r="AF110" i="4"/>
  <c r="AI110" i="4" s="1"/>
  <c r="AO109" i="4"/>
  <c r="AN109" i="4"/>
  <c r="AE110" i="2"/>
  <c r="AL109" i="2"/>
  <c r="AR109" i="2"/>
  <c r="AS109" i="2"/>
  <c r="AP110" i="2"/>
  <c r="AQ110" i="2" s="1"/>
  <c r="AO109" i="2"/>
  <c r="AN109" i="2"/>
  <c r="AF109" i="2"/>
  <c r="AI109" i="2" s="1"/>
  <c r="AG109" i="2"/>
  <c r="AE112" i="4" l="1"/>
  <c r="AR111" i="4"/>
  <c r="AL111" i="4"/>
  <c r="AG111" i="4"/>
  <c r="AF111" i="4"/>
  <c r="AI111" i="4" s="1"/>
  <c r="AO110" i="4"/>
  <c r="AN110" i="4"/>
  <c r="AP110" i="4"/>
  <c r="AQ109" i="4"/>
  <c r="AS109" i="4" s="1"/>
  <c r="AE111" i="2"/>
  <c r="AL110" i="2"/>
  <c r="AR110" i="2"/>
  <c r="AS110" i="2"/>
  <c r="AO110" i="2"/>
  <c r="AP111" i="2"/>
  <c r="AQ111" i="2" s="1"/>
  <c r="AF110" i="2"/>
  <c r="AI110" i="2" s="1"/>
  <c r="AG110" i="2"/>
  <c r="AO111" i="4" l="1"/>
  <c r="AN111" i="4"/>
  <c r="AQ110" i="4"/>
  <c r="AS110" i="4" s="1"/>
  <c r="AP111" i="4"/>
  <c r="AL112" i="4"/>
  <c r="AE113" i="4"/>
  <c r="AF112" i="4"/>
  <c r="AI112" i="4" s="1"/>
  <c r="AG112" i="4"/>
  <c r="AR112" i="4"/>
  <c r="AE112" i="2"/>
  <c r="AL111" i="2"/>
  <c r="AR111" i="2"/>
  <c r="AS111" i="2"/>
  <c r="AN110" i="2"/>
  <c r="AP112" i="2"/>
  <c r="AQ112" i="2" s="1"/>
  <c r="AO111" i="2"/>
  <c r="AN111" i="2"/>
  <c r="AF111" i="2"/>
  <c r="AI111" i="2" s="1"/>
  <c r="AG111" i="2"/>
  <c r="AG113" i="4" l="1"/>
  <c r="AF113" i="4"/>
  <c r="AI113" i="4" s="1"/>
  <c r="AR113" i="4"/>
  <c r="AL113" i="4"/>
  <c r="AE114" i="4"/>
  <c r="AQ111" i="4"/>
  <c r="AS111" i="4" s="1"/>
  <c r="AP112" i="4"/>
  <c r="AN112" i="4"/>
  <c r="AO112" i="4"/>
  <c r="AE113" i="2"/>
  <c r="AL112" i="2"/>
  <c r="AO112" i="2" s="1"/>
  <c r="AR112" i="2"/>
  <c r="AS112" i="2"/>
  <c r="AP113" i="2"/>
  <c r="AQ113" i="2" s="1"/>
  <c r="AN112" i="2"/>
  <c r="AF112" i="2"/>
  <c r="AI112" i="2" s="1"/>
  <c r="AG112" i="2"/>
  <c r="AG114" i="4" l="1"/>
  <c r="AR114" i="4"/>
  <c r="AE115" i="4"/>
  <c r="AL114" i="4"/>
  <c r="AF114" i="4"/>
  <c r="AI114" i="4" s="1"/>
  <c r="AP113" i="4"/>
  <c r="AQ112" i="4"/>
  <c r="AS112" i="4" s="1"/>
  <c r="AO113" i="4"/>
  <c r="AN113" i="4"/>
  <c r="AE114" i="2"/>
  <c r="AL113" i="2"/>
  <c r="AR113" i="2"/>
  <c r="AS113" i="2"/>
  <c r="AP114" i="2"/>
  <c r="AQ114" i="2" s="1"/>
  <c r="AO113" i="2"/>
  <c r="AN113" i="2"/>
  <c r="AF113" i="2"/>
  <c r="AI113" i="2" s="1"/>
  <c r="AG113" i="2"/>
  <c r="AP114" i="4" l="1"/>
  <c r="AQ113" i="4"/>
  <c r="AS113" i="4" s="1"/>
  <c r="AO114" i="4"/>
  <c r="AN114" i="4"/>
  <c r="AE116" i="4"/>
  <c r="AR115" i="4"/>
  <c r="AL115" i="4"/>
  <c r="AF115" i="4"/>
  <c r="AI115" i="4" s="1"/>
  <c r="AG115" i="4"/>
  <c r="AE115" i="2"/>
  <c r="AR114" i="2"/>
  <c r="AL114" i="2"/>
  <c r="AN114" i="2" s="1"/>
  <c r="AS114" i="2"/>
  <c r="AP115" i="2"/>
  <c r="AQ115" i="2" s="1"/>
  <c r="AO114" i="2"/>
  <c r="AF114" i="2"/>
  <c r="AI114" i="2" s="1"/>
  <c r="AG114" i="2"/>
  <c r="AL116" i="4" l="1"/>
  <c r="AE117" i="4"/>
  <c r="AF116" i="4"/>
  <c r="AI116" i="4" s="1"/>
  <c r="AR116" i="4"/>
  <c r="AG116" i="4"/>
  <c r="AO115" i="4"/>
  <c r="AN115" i="4"/>
  <c r="AQ114" i="4"/>
  <c r="AS114" i="4" s="1"/>
  <c r="AP115" i="4"/>
  <c r="AE116" i="2"/>
  <c r="AR115" i="2"/>
  <c r="AL115" i="2"/>
  <c r="AS115" i="2"/>
  <c r="AO115" i="2"/>
  <c r="AP116" i="2"/>
  <c r="AQ116" i="2" s="1"/>
  <c r="AF115" i="2"/>
  <c r="AI115" i="2" s="1"/>
  <c r="AG115" i="2"/>
  <c r="AG117" i="4" l="1"/>
  <c r="AE118" i="4"/>
  <c r="AF117" i="4"/>
  <c r="AI117" i="4" s="1"/>
  <c r="AR117" i="4"/>
  <c r="AL117" i="4"/>
  <c r="AQ115" i="4"/>
  <c r="AS115" i="4" s="1"/>
  <c r="AP116" i="4"/>
  <c r="AN116" i="4"/>
  <c r="AO116" i="4"/>
  <c r="AE117" i="2"/>
  <c r="AL116" i="2"/>
  <c r="AO116" i="2" s="1"/>
  <c r="AR116" i="2"/>
  <c r="AS116" i="2"/>
  <c r="AN115" i="2"/>
  <c r="AP117" i="2"/>
  <c r="AQ117" i="2" s="1"/>
  <c r="AF116" i="2"/>
  <c r="AI116" i="2" s="1"/>
  <c r="AG116" i="2"/>
  <c r="AP117" i="4" l="1"/>
  <c r="AQ116" i="4"/>
  <c r="AS116" i="4" s="1"/>
  <c r="AO117" i="4"/>
  <c r="AN117" i="4"/>
  <c r="AE119" i="4"/>
  <c r="AF118" i="4"/>
  <c r="AI118" i="4" s="1"/>
  <c r="AG118" i="4"/>
  <c r="AR118" i="4"/>
  <c r="AL118" i="4"/>
  <c r="AE118" i="2"/>
  <c r="AR117" i="2"/>
  <c r="AL117" i="2"/>
  <c r="AN117" i="2" s="1"/>
  <c r="AN116" i="2"/>
  <c r="AS117" i="2"/>
  <c r="AP118" i="2"/>
  <c r="AQ118" i="2" s="1"/>
  <c r="AO117" i="2"/>
  <c r="AF117" i="2"/>
  <c r="AI117" i="2" s="1"/>
  <c r="AG117" i="2"/>
  <c r="AE120" i="4" l="1"/>
  <c r="AL119" i="4"/>
  <c r="AF119" i="4"/>
  <c r="AI119" i="4" s="1"/>
  <c r="AG119" i="4"/>
  <c r="AR119" i="4"/>
  <c r="AO118" i="4"/>
  <c r="AN118" i="4"/>
  <c r="AQ117" i="4"/>
  <c r="AS117" i="4" s="1"/>
  <c r="AP118" i="4"/>
  <c r="AE119" i="2"/>
  <c r="AL118" i="2"/>
  <c r="AR118" i="2"/>
  <c r="AS118" i="2"/>
  <c r="AO118" i="2"/>
  <c r="AP119" i="2"/>
  <c r="AQ119" i="2" s="1"/>
  <c r="AF118" i="2"/>
  <c r="AI118" i="2" s="1"/>
  <c r="AG118" i="2"/>
  <c r="AN119" i="4" l="1"/>
  <c r="AO119" i="4"/>
  <c r="AQ118" i="4"/>
  <c r="AS118" i="4" s="1"/>
  <c r="AP119" i="4"/>
  <c r="AL120" i="4"/>
  <c r="AG120" i="4"/>
  <c r="AE121" i="4"/>
  <c r="AR120" i="4"/>
  <c r="AF120" i="4"/>
  <c r="AI120" i="4" s="1"/>
  <c r="AE120" i="2"/>
  <c r="AL119" i="2"/>
  <c r="AN119" i="2" s="1"/>
  <c r="AR119" i="2"/>
  <c r="AS119" i="2"/>
  <c r="AN118" i="2"/>
  <c r="AO119" i="2"/>
  <c r="AP120" i="2"/>
  <c r="AQ120" i="2" s="1"/>
  <c r="AF119" i="2"/>
  <c r="AI119" i="2" s="1"/>
  <c r="AG119" i="2"/>
  <c r="AG121" i="4" l="1"/>
  <c r="AR121" i="4"/>
  <c r="AE122" i="4"/>
  <c r="AF121" i="4"/>
  <c r="AI121" i="4" s="1"/>
  <c r="AL121" i="4"/>
  <c r="AP120" i="4"/>
  <c r="AQ119" i="4"/>
  <c r="AS119" i="4" s="1"/>
  <c r="AN120" i="4"/>
  <c r="AO120" i="4"/>
  <c r="AE121" i="2"/>
  <c r="AL120" i="2"/>
  <c r="AR120" i="2"/>
  <c r="AS120" i="2"/>
  <c r="AP121" i="2"/>
  <c r="AQ121" i="2" s="1"/>
  <c r="AO120" i="2"/>
  <c r="AN120" i="2"/>
  <c r="AF120" i="2"/>
  <c r="AI120" i="2" s="1"/>
  <c r="AG120" i="2"/>
  <c r="AP121" i="4" l="1"/>
  <c r="AQ120" i="4"/>
  <c r="AS120" i="4" s="1"/>
  <c r="AR122" i="4"/>
  <c r="AG122" i="4"/>
  <c r="AF122" i="4"/>
  <c r="AI122" i="4" s="1"/>
  <c r="AL122" i="4"/>
  <c r="AE123" i="4"/>
  <c r="AO121" i="4"/>
  <c r="AN121" i="4"/>
  <c r="AE122" i="2"/>
  <c r="AL121" i="2"/>
  <c r="AR121" i="2"/>
  <c r="AS121" i="2"/>
  <c r="AP122" i="2"/>
  <c r="AQ122" i="2" s="1"/>
  <c r="AO121" i="2"/>
  <c r="AN121" i="2"/>
  <c r="AF121" i="2"/>
  <c r="AI121" i="2" s="1"/>
  <c r="AG121" i="2"/>
  <c r="AE124" i="4" l="1"/>
  <c r="AL123" i="4"/>
  <c r="AR123" i="4"/>
  <c r="AG123" i="4"/>
  <c r="AF123" i="4"/>
  <c r="AI123" i="4" s="1"/>
  <c r="AO122" i="4"/>
  <c r="AN122" i="4"/>
  <c r="AP122" i="4"/>
  <c r="AQ121" i="4"/>
  <c r="AS121" i="4" s="1"/>
  <c r="AE123" i="2"/>
  <c r="AR122" i="2"/>
  <c r="AL122" i="2"/>
  <c r="AS122" i="2"/>
  <c r="AP123" i="2"/>
  <c r="AQ123" i="2" s="1"/>
  <c r="AO122" i="2"/>
  <c r="AN122" i="2"/>
  <c r="AF122" i="2"/>
  <c r="AI122" i="2" s="1"/>
  <c r="AG122" i="2"/>
  <c r="AO123" i="4" l="1"/>
  <c r="AN123" i="4"/>
  <c r="AQ122" i="4"/>
  <c r="AS122" i="4" s="1"/>
  <c r="AP123" i="4"/>
  <c r="AE125" i="4"/>
  <c r="AF124" i="4"/>
  <c r="AI124" i="4" s="1"/>
  <c r="AG124" i="4"/>
  <c r="AL124" i="4"/>
  <c r="AR124" i="4"/>
  <c r="AE124" i="2"/>
  <c r="AR123" i="2"/>
  <c r="AL123" i="2"/>
  <c r="AS123" i="2"/>
  <c r="AO123" i="2"/>
  <c r="AP124" i="2"/>
  <c r="AQ124" i="2" s="1"/>
  <c r="AN123" i="2"/>
  <c r="AF123" i="2"/>
  <c r="AI123" i="2" s="1"/>
  <c r="AG123" i="2"/>
  <c r="AO124" i="4" l="1"/>
  <c r="AN124" i="4"/>
  <c r="AG125" i="4"/>
  <c r="AR125" i="4"/>
  <c r="AF125" i="4"/>
  <c r="AI125" i="4" s="1"/>
  <c r="AE126" i="4"/>
  <c r="AL125" i="4"/>
  <c r="AQ123" i="4"/>
  <c r="AS123" i="4" s="1"/>
  <c r="AP124" i="4"/>
  <c r="AE125" i="2"/>
  <c r="AR124" i="2"/>
  <c r="AL124" i="2"/>
  <c r="AO124" i="2" s="1"/>
  <c r="AS124" i="2"/>
  <c r="AP125" i="2"/>
  <c r="AQ125" i="2" s="1"/>
  <c r="AN124" i="2"/>
  <c r="AF124" i="2"/>
  <c r="AI124" i="2" s="1"/>
  <c r="AG124" i="2"/>
  <c r="AG126" i="4" l="1"/>
  <c r="AR126" i="4"/>
  <c r="AF126" i="4"/>
  <c r="AI126" i="4" s="1"/>
  <c r="AE127" i="4"/>
  <c r="AL126" i="4"/>
  <c r="AO125" i="4"/>
  <c r="AN125" i="4"/>
  <c r="AP125" i="4"/>
  <c r="AQ124" i="4"/>
  <c r="AS124" i="4" s="1"/>
  <c r="AE126" i="2"/>
  <c r="AR125" i="2"/>
  <c r="AL125" i="2"/>
  <c r="AS125" i="2"/>
  <c r="AP126" i="2"/>
  <c r="AQ126" i="2" s="1"/>
  <c r="AO125" i="2"/>
  <c r="AN125" i="2"/>
  <c r="AF125" i="2"/>
  <c r="AI125" i="2" s="1"/>
  <c r="AG125" i="2"/>
  <c r="AO126" i="4" l="1"/>
  <c r="AN126" i="4"/>
  <c r="AQ125" i="4"/>
  <c r="AS125" i="4" s="1"/>
  <c r="AP126" i="4"/>
  <c r="AE128" i="4"/>
  <c r="AL127" i="4"/>
  <c r="AR127" i="4"/>
  <c r="AF127" i="4"/>
  <c r="AI127" i="4" s="1"/>
  <c r="AG127" i="4"/>
  <c r="AE127" i="2"/>
  <c r="AL126" i="2"/>
  <c r="AR126" i="2"/>
  <c r="AS126" i="2"/>
  <c r="AO126" i="2"/>
  <c r="AP127" i="2"/>
  <c r="AQ127" i="2" s="1"/>
  <c r="AN126" i="2"/>
  <c r="AF126" i="2"/>
  <c r="AI126" i="2" s="1"/>
  <c r="AG126" i="2"/>
  <c r="AQ126" i="4" l="1"/>
  <c r="AS126" i="4" s="1"/>
  <c r="AP127" i="4"/>
  <c r="AN127" i="4"/>
  <c r="AO127" i="4"/>
  <c r="AL128" i="4"/>
  <c r="AE129" i="4"/>
  <c r="AR128" i="4"/>
  <c r="AG128" i="4"/>
  <c r="AF128" i="4"/>
  <c r="AI128" i="4" s="1"/>
  <c r="AE128" i="2"/>
  <c r="AR127" i="2"/>
  <c r="AL127" i="2"/>
  <c r="AS127" i="2"/>
  <c r="AO127" i="2"/>
  <c r="AP128" i="2"/>
  <c r="AQ128" i="2" s="1"/>
  <c r="AN127" i="2"/>
  <c r="AF127" i="2"/>
  <c r="AI127" i="2" s="1"/>
  <c r="AG127" i="2"/>
  <c r="AQ127" i="4" l="1"/>
  <c r="AS127" i="4" s="1"/>
  <c r="AP128" i="4"/>
  <c r="AG129" i="4"/>
  <c r="AF129" i="4"/>
  <c r="AI129" i="4" s="1"/>
  <c r="AL129" i="4"/>
  <c r="AE130" i="4"/>
  <c r="AR129" i="4"/>
  <c r="AO128" i="4"/>
  <c r="AN128" i="4"/>
  <c r="AE129" i="2"/>
  <c r="AL128" i="2"/>
  <c r="AR128" i="2"/>
  <c r="AS128" i="2"/>
  <c r="AP129" i="2"/>
  <c r="AQ129" i="2" s="1"/>
  <c r="AO128" i="2"/>
  <c r="AN128" i="2"/>
  <c r="AF128" i="2"/>
  <c r="AI128" i="2" s="1"/>
  <c r="AG128" i="2"/>
  <c r="AG130" i="4" l="1"/>
  <c r="AR130" i="4"/>
  <c r="AL130" i="4"/>
  <c r="AE131" i="4"/>
  <c r="AF130" i="4"/>
  <c r="AI130" i="4" s="1"/>
  <c r="AP129" i="4"/>
  <c r="AQ128" i="4"/>
  <c r="AS128" i="4" s="1"/>
  <c r="AO129" i="4"/>
  <c r="AN129" i="4"/>
  <c r="AE130" i="2"/>
  <c r="AL129" i="2"/>
  <c r="AR129" i="2"/>
  <c r="AS129" i="2"/>
  <c r="AP130" i="2"/>
  <c r="AQ130" i="2" s="1"/>
  <c r="AO129" i="2"/>
  <c r="AN129" i="2"/>
  <c r="AF129" i="2"/>
  <c r="AI129" i="2" s="1"/>
  <c r="AG129" i="2"/>
  <c r="AE132" i="4" l="1"/>
  <c r="AR131" i="4"/>
  <c r="AL131" i="4"/>
  <c r="AF131" i="4"/>
  <c r="AI131" i="4" s="1"/>
  <c r="AG131" i="4"/>
  <c r="AO130" i="4"/>
  <c r="AN130" i="4"/>
  <c r="AP130" i="4"/>
  <c r="AQ129" i="4"/>
  <c r="AS129" i="4" s="1"/>
  <c r="AE131" i="2"/>
  <c r="AR130" i="2"/>
  <c r="AL130" i="2"/>
  <c r="AS130" i="2"/>
  <c r="AP131" i="2"/>
  <c r="AQ131" i="2" s="1"/>
  <c r="AO130" i="2"/>
  <c r="AN130" i="2"/>
  <c r="AF130" i="2"/>
  <c r="AI130" i="2" s="1"/>
  <c r="AG130" i="2"/>
  <c r="AQ130" i="4" l="1"/>
  <c r="AS130" i="4" s="1"/>
  <c r="AP131" i="4"/>
  <c r="AO131" i="4"/>
  <c r="AN131" i="4"/>
  <c r="AL132" i="4"/>
  <c r="AE133" i="4"/>
  <c r="AF132" i="4"/>
  <c r="AI132" i="4" s="1"/>
  <c r="AR132" i="4"/>
  <c r="AG132" i="4"/>
  <c r="AE132" i="2"/>
  <c r="AR131" i="2"/>
  <c r="AL131" i="2"/>
  <c r="AS131" i="2"/>
  <c r="AO131" i="2"/>
  <c r="AP132" i="2"/>
  <c r="AQ132" i="2" s="1"/>
  <c r="AN131" i="2"/>
  <c r="AF131" i="2"/>
  <c r="AI131" i="2" s="1"/>
  <c r="AG131" i="2"/>
  <c r="AQ131" i="4" l="1"/>
  <c r="AS131" i="4" s="1"/>
  <c r="AP132" i="4"/>
  <c r="AG133" i="4"/>
  <c r="AF133" i="4"/>
  <c r="AI133" i="4" s="1"/>
  <c r="AR133" i="4"/>
  <c r="AE134" i="4"/>
  <c r="AL133" i="4"/>
  <c r="AN132" i="4"/>
  <c r="AO132" i="4"/>
  <c r="AE133" i="2"/>
  <c r="AR132" i="2"/>
  <c r="AL132" i="2"/>
  <c r="AS132" i="2"/>
  <c r="AP133" i="2"/>
  <c r="AQ133" i="2" s="1"/>
  <c r="AO132" i="2"/>
  <c r="AN132" i="2"/>
  <c r="AF132" i="2"/>
  <c r="AI132" i="2" s="1"/>
  <c r="AG132" i="2"/>
  <c r="AO133" i="4" l="1"/>
  <c r="AN133" i="4"/>
  <c r="AP133" i="4"/>
  <c r="AQ132" i="4"/>
  <c r="AS132" i="4" s="1"/>
  <c r="AG134" i="4"/>
  <c r="AR134" i="4"/>
  <c r="AF134" i="4"/>
  <c r="AI134" i="4" s="1"/>
  <c r="AL134" i="4"/>
  <c r="AE135" i="4"/>
  <c r="AE134" i="2"/>
  <c r="AR133" i="2"/>
  <c r="AL133" i="2"/>
  <c r="AS133" i="2"/>
  <c r="AP134" i="2"/>
  <c r="AQ134" i="2" s="1"/>
  <c r="AO133" i="2"/>
  <c r="AN133" i="2"/>
  <c r="AF133" i="2"/>
  <c r="AI133" i="2" s="1"/>
  <c r="AG133" i="2"/>
  <c r="AP134" i="4" l="1"/>
  <c r="AQ133" i="4"/>
  <c r="AS133" i="4" s="1"/>
  <c r="AO134" i="4"/>
  <c r="AN134" i="4"/>
  <c r="AE136" i="4"/>
  <c r="AR135" i="4"/>
  <c r="AL135" i="4"/>
  <c r="AG135" i="4"/>
  <c r="AF135" i="4"/>
  <c r="AI135" i="4" s="1"/>
  <c r="AE135" i="2"/>
  <c r="AL134" i="2"/>
  <c r="AR134" i="2"/>
  <c r="AS134" i="2"/>
  <c r="AP135" i="2"/>
  <c r="AQ135" i="2" s="1"/>
  <c r="AO134" i="2"/>
  <c r="AN134" i="2"/>
  <c r="AF134" i="2"/>
  <c r="AI134" i="2" s="1"/>
  <c r="AG134" i="2"/>
  <c r="AN135" i="4" l="1"/>
  <c r="AO135" i="4"/>
  <c r="AL136" i="4"/>
  <c r="AE137" i="4"/>
  <c r="AF136" i="4"/>
  <c r="AI136" i="4" s="1"/>
  <c r="AR136" i="4"/>
  <c r="AG136" i="4"/>
  <c r="AQ134" i="4"/>
  <c r="AS134" i="4" s="1"/>
  <c r="AP135" i="4"/>
  <c r="AE136" i="2"/>
  <c r="AR135" i="2"/>
  <c r="AL135" i="2"/>
  <c r="AO135" i="2" s="1"/>
  <c r="AS135" i="2"/>
  <c r="AP136" i="2"/>
  <c r="AQ136" i="2" s="1"/>
  <c r="AF135" i="2"/>
  <c r="AI135" i="2" s="1"/>
  <c r="AG135" i="2"/>
  <c r="AN136" i="4" l="1"/>
  <c r="AO136" i="4"/>
  <c r="AG137" i="4"/>
  <c r="AF137" i="4"/>
  <c r="AI137" i="4" s="1"/>
  <c r="AR137" i="4"/>
  <c r="AE138" i="4"/>
  <c r="AL137" i="4"/>
  <c r="AQ135" i="4"/>
  <c r="AS135" i="4" s="1"/>
  <c r="AP136" i="4"/>
  <c r="AE137" i="2"/>
  <c r="AL136" i="2"/>
  <c r="AR136" i="2"/>
  <c r="AS136" i="2"/>
  <c r="AO136" i="2"/>
  <c r="AN135" i="2"/>
  <c r="AP137" i="2"/>
  <c r="AQ137" i="2" s="1"/>
  <c r="AN136" i="2"/>
  <c r="AF136" i="2"/>
  <c r="AI136" i="2" s="1"/>
  <c r="AG136" i="2"/>
  <c r="AO137" i="4" l="1"/>
  <c r="AN137" i="4"/>
  <c r="AG138" i="4"/>
  <c r="AR138" i="4"/>
  <c r="AF138" i="4"/>
  <c r="AI138" i="4" s="1"/>
  <c r="AL138" i="4"/>
  <c r="AE139" i="4"/>
  <c r="AP137" i="4"/>
  <c r="AQ136" i="4"/>
  <c r="AS136" i="4" s="1"/>
  <c r="AE138" i="2"/>
  <c r="AL137" i="2"/>
  <c r="AR137" i="2"/>
  <c r="AS137" i="2"/>
  <c r="AO137" i="2"/>
  <c r="AP138" i="2"/>
  <c r="AQ138" i="2" s="1"/>
  <c r="AN137" i="2"/>
  <c r="AF137" i="2"/>
  <c r="AI137" i="2" s="1"/>
  <c r="AG137" i="2"/>
  <c r="AE140" i="4" l="1"/>
  <c r="AR139" i="4"/>
  <c r="AL139" i="4"/>
  <c r="AG139" i="4"/>
  <c r="AF139" i="4"/>
  <c r="AI139" i="4" s="1"/>
  <c r="AP138" i="4"/>
  <c r="AQ137" i="4"/>
  <c r="AS137" i="4" s="1"/>
  <c r="AO138" i="4"/>
  <c r="AN138" i="4"/>
  <c r="AE139" i="2"/>
  <c r="AR138" i="2"/>
  <c r="AL138" i="2"/>
  <c r="AS138" i="2"/>
  <c r="AO138" i="2"/>
  <c r="AP139" i="2"/>
  <c r="AQ139" i="2" s="1"/>
  <c r="AF138" i="2"/>
  <c r="AI138" i="2" s="1"/>
  <c r="AG138" i="2"/>
  <c r="AQ138" i="4" l="1"/>
  <c r="AS138" i="4" s="1"/>
  <c r="AP139" i="4"/>
  <c r="AN139" i="4"/>
  <c r="AO139" i="4"/>
  <c r="AL140" i="4"/>
  <c r="AE141" i="4"/>
  <c r="AF140" i="4"/>
  <c r="AI140" i="4" s="1"/>
  <c r="AR140" i="4"/>
  <c r="AG140" i="4"/>
  <c r="AE140" i="2"/>
  <c r="AR139" i="2"/>
  <c r="AL139" i="2"/>
  <c r="AN139" i="2" s="1"/>
  <c r="AS139" i="2"/>
  <c r="AN138" i="2"/>
  <c r="AO139" i="2"/>
  <c r="AP140" i="2"/>
  <c r="AQ140" i="2" s="1"/>
  <c r="AF139" i="2"/>
  <c r="AI139" i="2" s="1"/>
  <c r="AG139" i="2"/>
  <c r="AG141" i="4" l="1"/>
  <c r="AF141" i="4"/>
  <c r="AI141" i="4" s="1"/>
  <c r="AR141" i="4"/>
  <c r="AE142" i="4"/>
  <c r="AL141" i="4"/>
  <c r="AN140" i="4"/>
  <c r="AO140" i="4"/>
  <c r="AQ139" i="4"/>
  <c r="AS139" i="4" s="1"/>
  <c r="AP140" i="4"/>
  <c r="AE141" i="2"/>
  <c r="AR140" i="2"/>
  <c r="AL140" i="2"/>
  <c r="AS140" i="2"/>
  <c r="AO140" i="2"/>
  <c r="AP141" i="2"/>
  <c r="AQ141" i="2" s="1"/>
  <c r="AF140" i="2"/>
  <c r="AI140" i="2" s="1"/>
  <c r="AG140" i="2"/>
  <c r="AG142" i="4" l="1"/>
  <c r="AR142" i="4"/>
  <c r="AF142" i="4"/>
  <c r="AI142" i="4" s="1"/>
  <c r="AE143" i="4"/>
  <c r="AL142" i="4"/>
  <c r="AO141" i="4"/>
  <c r="AN141" i="4"/>
  <c r="AP141" i="4"/>
  <c r="AQ140" i="4"/>
  <c r="AS140" i="4" s="1"/>
  <c r="AE142" i="2"/>
  <c r="AR141" i="2"/>
  <c r="AL141" i="2"/>
  <c r="AO141" i="2" s="1"/>
  <c r="AS141" i="2"/>
  <c r="AN140" i="2"/>
  <c r="AP142" i="2"/>
  <c r="AQ142" i="2" s="1"/>
  <c r="AF141" i="2"/>
  <c r="AI141" i="2" s="1"/>
  <c r="AG141" i="2"/>
  <c r="AP142" i="4" l="1"/>
  <c r="AQ141" i="4"/>
  <c r="AS141" i="4" s="1"/>
  <c r="AE144" i="4"/>
  <c r="AR143" i="4"/>
  <c r="AL143" i="4"/>
  <c r="AG143" i="4"/>
  <c r="AF143" i="4"/>
  <c r="AI143" i="4" s="1"/>
  <c r="AO142" i="4"/>
  <c r="AN142" i="4"/>
  <c r="AE143" i="2"/>
  <c r="AL142" i="2"/>
  <c r="AR142" i="2"/>
  <c r="AN141" i="2"/>
  <c r="AS142" i="2"/>
  <c r="AO142" i="2"/>
  <c r="AP143" i="2"/>
  <c r="AQ143" i="2" s="1"/>
  <c r="AF142" i="2"/>
  <c r="AI142" i="2" s="1"/>
  <c r="AG142" i="2"/>
  <c r="AL144" i="4" l="1"/>
  <c r="AE145" i="4"/>
  <c r="AF144" i="4"/>
  <c r="AI144" i="4" s="1"/>
  <c r="AR144" i="4"/>
  <c r="AG144" i="4"/>
  <c r="AO143" i="4"/>
  <c r="AN143" i="4"/>
  <c r="AQ142" i="4"/>
  <c r="AS142" i="4" s="1"/>
  <c r="AP143" i="4"/>
  <c r="AE144" i="2"/>
  <c r="AR143" i="2"/>
  <c r="AL143" i="2"/>
  <c r="AN143" i="2" s="1"/>
  <c r="AS143" i="2"/>
  <c r="AN142" i="2"/>
  <c r="AO143" i="2"/>
  <c r="AP144" i="2"/>
  <c r="AQ144" i="2" s="1"/>
  <c r="AF143" i="2"/>
  <c r="AI143" i="2" s="1"/>
  <c r="AG143" i="2"/>
  <c r="AE146" i="4" l="1"/>
  <c r="AR145" i="4"/>
  <c r="AL145" i="4"/>
  <c r="AG145" i="4"/>
  <c r="AF145" i="4"/>
  <c r="AI145" i="4" s="1"/>
  <c r="AP144" i="4"/>
  <c r="AQ143" i="4"/>
  <c r="AS143" i="4" s="1"/>
  <c r="AN144" i="4"/>
  <c r="AO144" i="4"/>
  <c r="AE145" i="2"/>
  <c r="AL144" i="2"/>
  <c r="AR144" i="2"/>
  <c r="AS144" i="2"/>
  <c r="AO144" i="2"/>
  <c r="AP145" i="2"/>
  <c r="AQ145" i="2" s="1"/>
  <c r="AF144" i="2"/>
  <c r="AI144" i="2" s="1"/>
  <c r="AG144" i="2"/>
  <c r="AQ144" i="4" l="1"/>
  <c r="AS144" i="4" s="1"/>
  <c r="AP145" i="4"/>
  <c r="AN145" i="4"/>
  <c r="AO145" i="4"/>
  <c r="AL146" i="4"/>
  <c r="AE147" i="4"/>
  <c r="AF146" i="4"/>
  <c r="AI146" i="4" s="1"/>
  <c r="AG146" i="4"/>
  <c r="AR146" i="4"/>
  <c r="AE146" i="2"/>
  <c r="AR145" i="2"/>
  <c r="AL145" i="2"/>
  <c r="AS145" i="2"/>
  <c r="AN144" i="2"/>
  <c r="AP146" i="2"/>
  <c r="AQ146" i="2" s="1"/>
  <c r="AO145" i="2"/>
  <c r="AN145" i="2"/>
  <c r="AF145" i="2"/>
  <c r="AI145" i="2" s="1"/>
  <c r="AG145" i="2"/>
  <c r="AO146" i="4" l="1"/>
  <c r="AN146" i="4"/>
  <c r="AQ145" i="4"/>
  <c r="AS145" i="4" s="1"/>
  <c r="AP146" i="4"/>
  <c r="AG147" i="4"/>
  <c r="AR147" i="4"/>
  <c r="AF147" i="4"/>
  <c r="AI147" i="4" s="1"/>
  <c r="AL147" i="4"/>
  <c r="AE148" i="4"/>
  <c r="AE147" i="2"/>
  <c r="AR146" i="2"/>
  <c r="AL146" i="2"/>
  <c r="AS146" i="2"/>
  <c r="AP147" i="2"/>
  <c r="AQ147" i="2" s="1"/>
  <c r="AO146" i="2"/>
  <c r="AN146" i="2"/>
  <c r="AF146" i="2"/>
  <c r="AI146" i="2" s="1"/>
  <c r="AG146" i="2"/>
  <c r="AO147" i="4" l="1"/>
  <c r="AN147" i="4"/>
  <c r="AP147" i="4"/>
  <c r="AQ146" i="4"/>
  <c r="AS146" i="4" s="1"/>
  <c r="AE149" i="4"/>
  <c r="AR148" i="4"/>
  <c r="AL148" i="4"/>
  <c r="AG148" i="4"/>
  <c r="AF148" i="4"/>
  <c r="AI148" i="4" s="1"/>
  <c r="AE148" i="2"/>
  <c r="AL147" i="2"/>
  <c r="AR147" i="2"/>
  <c r="AS147" i="2"/>
  <c r="AO147" i="2"/>
  <c r="AP148" i="2"/>
  <c r="AQ148" i="2" s="1"/>
  <c r="AN147" i="2"/>
  <c r="AF147" i="2"/>
  <c r="AI147" i="2" s="1"/>
  <c r="AG147" i="2"/>
  <c r="AN148" i="4" l="1"/>
  <c r="AO148" i="4"/>
  <c r="AF149" i="4"/>
  <c r="AI149" i="4" s="1"/>
  <c r="AL149" i="4"/>
  <c r="AE150" i="4"/>
  <c r="AG149" i="4"/>
  <c r="AR149" i="4"/>
  <c r="AQ147" i="4"/>
  <c r="AS147" i="4" s="1"/>
  <c r="AP148" i="4"/>
  <c r="AE149" i="2"/>
  <c r="AR148" i="2"/>
  <c r="AL148" i="2"/>
  <c r="AS148" i="2"/>
  <c r="AO148" i="2"/>
  <c r="AP149" i="2"/>
  <c r="AQ149" i="2" s="1"/>
  <c r="AN148" i="2"/>
  <c r="AF148" i="2"/>
  <c r="AI148" i="2" s="1"/>
  <c r="AG148" i="2"/>
  <c r="AN149" i="4" l="1"/>
  <c r="AO149" i="4"/>
  <c r="AF150" i="4"/>
  <c r="AI150" i="4" s="1"/>
  <c r="AR150" i="4"/>
  <c r="AE151" i="4"/>
  <c r="AG150" i="4"/>
  <c r="AL150" i="4"/>
  <c r="AP149" i="4"/>
  <c r="AQ148" i="4"/>
  <c r="AS148" i="4" s="1"/>
  <c r="AE150" i="2"/>
  <c r="AR149" i="2"/>
  <c r="AL149" i="2"/>
  <c r="AS149" i="2"/>
  <c r="AO149" i="2"/>
  <c r="AP150" i="2"/>
  <c r="AQ150" i="2" s="1"/>
  <c r="AN149" i="2"/>
  <c r="AF149" i="2"/>
  <c r="AI149" i="2" s="1"/>
  <c r="AG149" i="2"/>
  <c r="AP150" i="4" l="1"/>
  <c r="AQ149" i="4"/>
  <c r="AS149" i="4" s="1"/>
  <c r="AN150" i="4"/>
  <c r="AO150" i="4"/>
  <c r="AL151" i="4"/>
  <c r="AE152" i="4"/>
  <c r="AR151" i="4"/>
  <c r="AG151" i="4"/>
  <c r="AF151" i="4"/>
  <c r="AI151" i="4" s="1"/>
  <c r="AE151" i="2"/>
  <c r="AL150" i="2"/>
  <c r="AR150" i="2"/>
  <c r="AS150" i="2"/>
  <c r="AO150" i="2"/>
  <c r="AP151" i="2"/>
  <c r="AQ151" i="2" s="1"/>
  <c r="AF150" i="2"/>
  <c r="AI150" i="2" s="1"/>
  <c r="AG150" i="2"/>
  <c r="AG152" i="4" l="1"/>
  <c r="AF152" i="4"/>
  <c r="AI152" i="4" s="1"/>
  <c r="AL152" i="4"/>
  <c r="AR152" i="4"/>
  <c r="AE153" i="4"/>
  <c r="AO151" i="4"/>
  <c r="AN151" i="4"/>
  <c r="AQ150" i="4"/>
  <c r="AS150" i="4" s="1"/>
  <c r="AP151" i="4"/>
  <c r="AE152" i="2"/>
  <c r="AR151" i="2"/>
  <c r="AL151" i="2"/>
  <c r="AS151" i="2"/>
  <c r="AN150" i="2"/>
  <c r="AO151" i="2"/>
  <c r="AP152" i="2"/>
  <c r="AQ152" i="2" s="1"/>
  <c r="AN151" i="2"/>
  <c r="AF151" i="2"/>
  <c r="AI151" i="2" s="1"/>
  <c r="AG151" i="2"/>
  <c r="AF153" i="4" l="1"/>
  <c r="AI153" i="4" s="1"/>
  <c r="AE154" i="4"/>
  <c r="AR153" i="4"/>
  <c r="AG153" i="4"/>
  <c r="AL153" i="4"/>
  <c r="AO152" i="4"/>
  <c r="AN152" i="4"/>
  <c r="AQ151" i="4"/>
  <c r="AS151" i="4" s="1"/>
  <c r="AP152" i="4"/>
  <c r="AE153" i="2"/>
  <c r="AL152" i="2"/>
  <c r="AR152" i="2"/>
  <c r="AS152" i="2"/>
  <c r="AP153" i="2"/>
  <c r="AQ153" i="2" s="1"/>
  <c r="AO152" i="2"/>
  <c r="AN152" i="2"/>
  <c r="AF152" i="2"/>
  <c r="AI152" i="2" s="1"/>
  <c r="AG152" i="2"/>
  <c r="AN153" i="4" l="1"/>
  <c r="AO153" i="4"/>
  <c r="AL154" i="4"/>
  <c r="AE155" i="4"/>
  <c r="AR154" i="4"/>
  <c r="AG154" i="4"/>
  <c r="AF154" i="4"/>
  <c r="AI154" i="4" s="1"/>
  <c r="AP153" i="4"/>
  <c r="AQ152" i="4"/>
  <c r="AS152" i="4" s="1"/>
  <c r="AE154" i="2"/>
  <c r="AR153" i="2"/>
  <c r="AL153" i="2"/>
  <c r="AS153" i="2"/>
  <c r="AO153" i="2"/>
  <c r="AP154" i="2"/>
  <c r="AQ154" i="2" s="1"/>
  <c r="AF153" i="2"/>
  <c r="AI153" i="2" s="1"/>
  <c r="AG153" i="2"/>
  <c r="AO154" i="4" l="1"/>
  <c r="AN154" i="4"/>
  <c r="AQ153" i="4"/>
  <c r="AS153" i="4" s="1"/>
  <c r="AP154" i="4"/>
  <c r="AL155" i="4"/>
  <c r="AE156" i="4"/>
  <c r="AG155" i="4"/>
  <c r="AF155" i="4"/>
  <c r="AI155" i="4" s="1"/>
  <c r="AR155" i="4"/>
  <c r="AE155" i="2"/>
  <c r="AL154" i="2"/>
  <c r="AR154" i="2"/>
  <c r="AS154" i="2"/>
  <c r="AN153" i="2"/>
  <c r="AO154" i="2"/>
  <c r="AP155" i="2"/>
  <c r="AQ155" i="2" s="1"/>
  <c r="AF154" i="2"/>
  <c r="AI154" i="2" s="1"/>
  <c r="AG154" i="2"/>
  <c r="AG156" i="4" l="1"/>
  <c r="AF156" i="4"/>
  <c r="AI156" i="4" s="1"/>
  <c r="AR156" i="4"/>
  <c r="AE157" i="4"/>
  <c r="AL156" i="4"/>
  <c r="AO155" i="4"/>
  <c r="AN155" i="4"/>
  <c r="AQ154" i="4"/>
  <c r="AS154" i="4" s="1"/>
  <c r="AP155" i="4"/>
  <c r="AE156" i="2"/>
  <c r="AL155" i="2"/>
  <c r="AR155" i="2"/>
  <c r="AS155" i="2"/>
  <c r="AN154" i="2"/>
  <c r="AP156" i="2"/>
  <c r="AQ156" i="2" s="1"/>
  <c r="AO155" i="2"/>
  <c r="AN155" i="2"/>
  <c r="AF155" i="2"/>
  <c r="AI155" i="2" s="1"/>
  <c r="AG155" i="2"/>
  <c r="AE158" i="4" l="1"/>
  <c r="AR157" i="4"/>
  <c r="AL157" i="4"/>
  <c r="AG157" i="4"/>
  <c r="AF157" i="4"/>
  <c r="AI157" i="4" s="1"/>
  <c r="AO156" i="4"/>
  <c r="AN156" i="4"/>
  <c r="AP156" i="4"/>
  <c r="AQ155" i="4"/>
  <c r="AS155" i="4" s="1"/>
  <c r="AE157" i="2"/>
  <c r="AR156" i="2"/>
  <c r="AL156" i="2"/>
  <c r="AS156" i="2"/>
  <c r="AP157" i="2"/>
  <c r="AQ157" i="2" s="1"/>
  <c r="AO156" i="2"/>
  <c r="AN156" i="2"/>
  <c r="AF156" i="2"/>
  <c r="AI156" i="2" s="1"/>
  <c r="AG156" i="2"/>
  <c r="AP157" i="4" l="1"/>
  <c r="AQ156" i="4"/>
  <c r="AS156" i="4" s="1"/>
  <c r="AN157" i="4"/>
  <c r="AO157" i="4"/>
  <c r="AF158" i="4"/>
  <c r="AI158" i="4" s="1"/>
  <c r="AL158" i="4"/>
  <c r="AR158" i="4"/>
  <c r="AG158" i="4"/>
  <c r="AE159" i="4"/>
  <c r="AE158" i="2"/>
  <c r="AR157" i="2"/>
  <c r="AL157" i="2"/>
  <c r="AS157" i="2"/>
  <c r="AP158" i="2"/>
  <c r="AQ158" i="2" s="1"/>
  <c r="AO157" i="2"/>
  <c r="AN157" i="2"/>
  <c r="AF157" i="2"/>
  <c r="AI157" i="2" s="1"/>
  <c r="AG157" i="2"/>
  <c r="AN158" i="4" l="1"/>
  <c r="AO158" i="4"/>
  <c r="AG159" i="4"/>
  <c r="AE160" i="4"/>
  <c r="AR159" i="4"/>
  <c r="AF159" i="4"/>
  <c r="AI159" i="4" s="1"/>
  <c r="AL159" i="4"/>
  <c r="AQ157" i="4"/>
  <c r="AS157" i="4" s="1"/>
  <c r="AP158" i="4"/>
  <c r="AE159" i="2"/>
  <c r="AR158" i="2"/>
  <c r="AL158" i="2"/>
  <c r="AS158" i="2"/>
  <c r="AP159" i="2"/>
  <c r="AQ159" i="2" s="1"/>
  <c r="AO158" i="2"/>
  <c r="AN158" i="2"/>
  <c r="AF158" i="2"/>
  <c r="AI158" i="2" s="1"/>
  <c r="AG158" i="2"/>
  <c r="AO159" i="4" l="1"/>
  <c r="AN159" i="4"/>
  <c r="AL160" i="4"/>
  <c r="AE161" i="4"/>
  <c r="AR160" i="4"/>
  <c r="AG160" i="4"/>
  <c r="AF160" i="4"/>
  <c r="AI160" i="4" s="1"/>
  <c r="AP159" i="4"/>
  <c r="AQ158" i="4"/>
  <c r="AS158" i="4" s="1"/>
  <c r="AE160" i="2"/>
  <c r="AR159" i="2"/>
  <c r="AL159" i="2"/>
  <c r="AS159" i="2"/>
  <c r="AP160" i="2"/>
  <c r="AQ160" i="2" s="1"/>
  <c r="AO159" i="2"/>
  <c r="AN159" i="2"/>
  <c r="AF159" i="2"/>
  <c r="AI159" i="2" s="1"/>
  <c r="AG159" i="2"/>
  <c r="AQ159" i="4" l="1"/>
  <c r="AS159" i="4" s="1"/>
  <c r="AP160" i="4"/>
  <c r="AG161" i="4"/>
  <c r="AF161" i="4"/>
  <c r="AI161" i="4" s="1"/>
  <c r="AR161" i="4"/>
  <c r="AL161" i="4"/>
  <c r="AE162" i="4"/>
  <c r="AO160" i="4"/>
  <c r="AN160" i="4"/>
  <c r="AE161" i="2"/>
  <c r="AL160" i="2"/>
  <c r="AR160" i="2"/>
  <c r="AS160" i="2"/>
  <c r="AP161" i="2"/>
  <c r="AQ161" i="2" s="1"/>
  <c r="AO160" i="2"/>
  <c r="AN160" i="2"/>
  <c r="AF160" i="2"/>
  <c r="AI160" i="2" s="1"/>
  <c r="AG160" i="2"/>
  <c r="AE163" i="4" l="1"/>
  <c r="AR162" i="4"/>
  <c r="AF162" i="4"/>
  <c r="AI162" i="4" s="1"/>
  <c r="AL162" i="4"/>
  <c r="AG162" i="4"/>
  <c r="AP161" i="4"/>
  <c r="AQ160" i="4"/>
  <c r="AS160" i="4" s="1"/>
  <c r="AO161" i="4"/>
  <c r="AN161" i="4"/>
  <c r="AE162" i="2"/>
  <c r="AR161" i="2"/>
  <c r="AL161" i="2"/>
  <c r="AS161" i="2"/>
  <c r="AP162" i="2"/>
  <c r="AQ162" i="2" s="1"/>
  <c r="AO161" i="2"/>
  <c r="AN161" i="2"/>
  <c r="AF161" i="2"/>
  <c r="AI161" i="2" s="1"/>
  <c r="AG161" i="2"/>
  <c r="AO162" i="4" l="1"/>
  <c r="AN162" i="4"/>
  <c r="AP162" i="4"/>
  <c r="AQ161" i="4"/>
  <c r="AS161" i="4" s="1"/>
  <c r="AL163" i="4"/>
  <c r="AF163" i="4"/>
  <c r="AI163" i="4" s="1"/>
  <c r="AE164" i="4"/>
  <c r="AG163" i="4"/>
  <c r="AR163" i="4"/>
  <c r="AE163" i="2"/>
  <c r="AL162" i="2"/>
  <c r="AR162" i="2"/>
  <c r="AS162" i="2"/>
  <c r="AO162" i="2"/>
  <c r="AP163" i="2"/>
  <c r="AQ163" i="2" s="1"/>
  <c r="AF162" i="2"/>
  <c r="AI162" i="2" s="1"/>
  <c r="AG162" i="2"/>
  <c r="AG164" i="4" l="1"/>
  <c r="AF164" i="4"/>
  <c r="AI164" i="4" s="1"/>
  <c r="AR164" i="4"/>
  <c r="AE165" i="4"/>
  <c r="AL164" i="4"/>
  <c r="AN163" i="4"/>
  <c r="AO163" i="4"/>
  <c r="AQ162" i="4"/>
  <c r="AS162" i="4" s="1"/>
  <c r="AP163" i="4"/>
  <c r="AE164" i="2"/>
  <c r="AR163" i="2"/>
  <c r="AL163" i="2"/>
  <c r="AS163" i="2"/>
  <c r="AN162" i="2"/>
  <c r="AP164" i="2"/>
  <c r="AQ164" i="2" s="1"/>
  <c r="AO163" i="2"/>
  <c r="AN163" i="2"/>
  <c r="AF163" i="2"/>
  <c r="AI163" i="2" s="1"/>
  <c r="AG163" i="2"/>
  <c r="AO164" i="4" l="1"/>
  <c r="AN164" i="4"/>
  <c r="AG165" i="4"/>
  <c r="AL165" i="4"/>
  <c r="AE166" i="4"/>
  <c r="AF165" i="4"/>
  <c r="AI165" i="4" s="1"/>
  <c r="AR165" i="4"/>
  <c r="AP164" i="4"/>
  <c r="AQ163" i="4"/>
  <c r="AS163" i="4" s="1"/>
  <c r="AE165" i="2"/>
  <c r="AR164" i="2"/>
  <c r="AL164" i="2"/>
  <c r="AS164" i="2"/>
  <c r="AP165" i="2"/>
  <c r="AQ165" i="2" s="1"/>
  <c r="AO164" i="2"/>
  <c r="AN164" i="2"/>
  <c r="AF164" i="2"/>
  <c r="AI164" i="2" s="1"/>
  <c r="AG164" i="2"/>
  <c r="AQ164" i="4" l="1"/>
  <c r="AS164" i="4" s="1"/>
  <c r="AP165" i="4"/>
  <c r="AE167" i="4"/>
  <c r="AR166" i="4"/>
  <c r="AL166" i="4"/>
  <c r="AG166" i="4"/>
  <c r="AF166" i="4"/>
  <c r="AI166" i="4" s="1"/>
  <c r="AO165" i="4"/>
  <c r="AN165" i="4"/>
  <c r="AE166" i="2"/>
  <c r="AL165" i="2"/>
  <c r="AR165" i="2"/>
  <c r="AS165" i="2"/>
  <c r="AP166" i="2"/>
  <c r="AQ166" i="2" s="1"/>
  <c r="AO165" i="2"/>
  <c r="AN165" i="2"/>
  <c r="AF165" i="2"/>
  <c r="AI165" i="2" s="1"/>
  <c r="AG165" i="2"/>
  <c r="AO166" i="4" l="1"/>
  <c r="AN166" i="4"/>
  <c r="AR167" i="4"/>
  <c r="AG167" i="4"/>
  <c r="AL167" i="4"/>
  <c r="AE168" i="4"/>
  <c r="AF167" i="4"/>
  <c r="AI167" i="4" s="1"/>
  <c r="AQ165" i="4"/>
  <c r="AS165" i="4" s="1"/>
  <c r="AP166" i="4"/>
  <c r="AE167" i="2"/>
  <c r="AR166" i="2"/>
  <c r="AL166" i="2"/>
  <c r="AS166" i="2"/>
  <c r="AO166" i="2"/>
  <c r="AP167" i="2"/>
  <c r="AQ167" i="2" s="1"/>
  <c r="AF166" i="2"/>
  <c r="AI166" i="2" s="1"/>
  <c r="AG166" i="2"/>
  <c r="AO167" i="4" l="1"/>
  <c r="AN167" i="4"/>
  <c r="AE169" i="4"/>
  <c r="AR168" i="4"/>
  <c r="AL168" i="4"/>
  <c r="AG168" i="4"/>
  <c r="AF168" i="4"/>
  <c r="AI168" i="4" s="1"/>
  <c r="AP167" i="4"/>
  <c r="AQ166" i="4"/>
  <c r="AS166" i="4" s="1"/>
  <c r="AE168" i="2"/>
  <c r="AR167" i="2"/>
  <c r="AL167" i="2"/>
  <c r="AN167" i="2" s="1"/>
  <c r="AS167" i="2"/>
  <c r="AN166" i="2"/>
  <c r="AP168" i="2"/>
  <c r="AQ168" i="2" s="1"/>
  <c r="AO167" i="2"/>
  <c r="AF167" i="2"/>
  <c r="AI167" i="2" s="1"/>
  <c r="AG167" i="2"/>
  <c r="AP168" i="4" l="1"/>
  <c r="AQ167" i="4"/>
  <c r="AS167" i="4" s="1"/>
  <c r="AN168" i="4"/>
  <c r="AO168" i="4"/>
  <c r="AF169" i="4"/>
  <c r="AI169" i="4" s="1"/>
  <c r="AG169" i="4"/>
  <c r="AE170" i="4"/>
  <c r="AR169" i="4"/>
  <c r="AL169" i="4"/>
  <c r="AE169" i="2"/>
  <c r="AL168" i="2"/>
  <c r="AR168" i="2"/>
  <c r="AS168" i="2"/>
  <c r="AP169" i="2"/>
  <c r="AQ169" i="2" s="1"/>
  <c r="AO168" i="2"/>
  <c r="AN168" i="2"/>
  <c r="AF168" i="2"/>
  <c r="AI168" i="2" s="1"/>
  <c r="AG168" i="2"/>
  <c r="AF170" i="4" l="1"/>
  <c r="AI170" i="4" s="1"/>
  <c r="AE171" i="4"/>
  <c r="AL170" i="4"/>
  <c r="AR170" i="4"/>
  <c r="AG170" i="4"/>
  <c r="AO169" i="4"/>
  <c r="AN169" i="4"/>
  <c r="AP169" i="4"/>
  <c r="AQ168" i="4"/>
  <c r="AS168" i="4" s="1"/>
  <c r="AE170" i="2"/>
  <c r="AR169" i="2"/>
  <c r="AL169" i="2"/>
  <c r="AS169" i="2"/>
  <c r="AO169" i="2"/>
  <c r="AP170" i="2"/>
  <c r="AQ170" i="2" s="1"/>
  <c r="AN169" i="2"/>
  <c r="AF169" i="2"/>
  <c r="AI169" i="2" s="1"/>
  <c r="AG169" i="2"/>
  <c r="AP170" i="4" l="1"/>
  <c r="AQ169" i="4"/>
  <c r="AS169" i="4" s="1"/>
  <c r="AN170" i="4"/>
  <c r="AO170" i="4"/>
  <c r="AR171" i="4"/>
  <c r="AF171" i="4"/>
  <c r="AI171" i="4" s="1"/>
  <c r="AE172" i="4"/>
  <c r="AG171" i="4"/>
  <c r="AL171" i="4"/>
  <c r="AE171" i="2"/>
  <c r="AR170" i="2"/>
  <c r="AL170" i="2"/>
  <c r="AS170" i="2"/>
  <c r="AP171" i="2"/>
  <c r="AQ171" i="2" s="1"/>
  <c r="AO170" i="2"/>
  <c r="AN170" i="2"/>
  <c r="AF170" i="2"/>
  <c r="AI170" i="2" s="1"/>
  <c r="AG170" i="2"/>
  <c r="AL172" i="4" l="1"/>
  <c r="AF172" i="4"/>
  <c r="AI172" i="4" s="1"/>
  <c r="AE173" i="4"/>
  <c r="AR172" i="4"/>
  <c r="AG172" i="4"/>
  <c r="AO171" i="4"/>
  <c r="AN171" i="4"/>
  <c r="AP171" i="4"/>
  <c r="AQ170" i="4"/>
  <c r="AS170" i="4" s="1"/>
  <c r="AE172" i="2"/>
  <c r="AR171" i="2"/>
  <c r="AL171" i="2"/>
  <c r="AS171" i="2"/>
  <c r="AP172" i="2"/>
  <c r="AQ172" i="2" s="1"/>
  <c r="AO171" i="2"/>
  <c r="AN171" i="2"/>
  <c r="AF171" i="2"/>
  <c r="AI171" i="2" s="1"/>
  <c r="AG171" i="2"/>
  <c r="AQ171" i="4" l="1"/>
  <c r="AS171" i="4" s="1"/>
  <c r="AP172" i="4"/>
  <c r="AG173" i="4"/>
  <c r="AF173" i="4"/>
  <c r="AI173" i="4" s="1"/>
  <c r="AE174" i="4"/>
  <c r="AR173" i="4"/>
  <c r="AL173" i="4"/>
  <c r="AN172" i="4"/>
  <c r="AO172" i="4"/>
  <c r="AE173" i="2"/>
  <c r="AL172" i="2"/>
  <c r="AR172" i="2"/>
  <c r="AS172" i="2"/>
  <c r="AP173" i="2"/>
  <c r="AQ173" i="2" s="1"/>
  <c r="AO172" i="2"/>
  <c r="AN172" i="2"/>
  <c r="AF172" i="2"/>
  <c r="AI172" i="2" s="1"/>
  <c r="AG172" i="2"/>
  <c r="AR174" i="4" l="1"/>
  <c r="AE175" i="4"/>
  <c r="AL174" i="4"/>
  <c r="AG174" i="4"/>
  <c r="AF174" i="4"/>
  <c r="AI174" i="4" s="1"/>
  <c r="AQ172" i="4"/>
  <c r="AS172" i="4" s="1"/>
  <c r="AP173" i="4"/>
  <c r="AO173" i="4"/>
  <c r="AN173" i="4"/>
  <c r="AE174" i="2"/>
  <c r="AL173" i="2"/>
  <c r="AR173" i="2"/>
  <c r="AS173" i="2"/>
  <c r="AO173" i="2"/>
  <c r="AP174" i="2"/>
  <c r="AQ174" i="2" s="1"/>
  <c r="AN173" i="2"/>
  <c r="AF173" i="2"/>
  <c r="AI173" i="2" s="1"/>
  <c r="AG173" i="2"/>
  <c r="AQ173" i="4" l="1"/>
  <c r="AS173" i="4" s="1"/>
  <c r="AP174" i="4"/>
  <c r="AO174" i="4"/>
  <c r="AN174" i="4"/>
  <c r="AE176" i="4"/>
  <c r="AG175" i="4"/>
  <c r="AF175" i="4"/>
  <c r="AI175" i="4" s="1"/>
  <c r="AR175" i="4"/>
  <c r="AL175" i="4"/>
  <c r="AE175" i="2"/>
  <c r="AR174" i="2"/>
  <c r="AL174" i="2"/>
  <c r="AS174" i="2"/>
  <c r="AO174" i="2"/>
  <c r="AP175" i="2"/>
  <c r="AQ175" i="2" s="1"/>
  <c r="AF174" i="2"/>
  <c r="AI174" i="2" s="1"/>
  <c r="AG174" i="2"/>
  <c r="AL176" i="4" l="1"/>
  <c r="AF176" i="4"/>
  <c r="AI176" i="4" s="1"/>
  <c r="AR176" i="4"/>
  <c r="AE177" i="4"/>
  <c r="AG176" i="4"/>
  <c r="AP175" i="4"/>
  <c r="AQ174" i="4"/>
  <c r="AS174" i="4" s="1"/>
  <c r="AO175" i="4"/>
  <c r="AN175" i="4"/>
  <c r="AE176" i="2"/>
  <c r="AL175" i="2"/>
  <c r="AR175" i="2"/>
  <c r="AS175" i="2"/>
  <c r="AN174" i="2"/>
  <c r="AO175" i="2"/>
  <c r="AP176" i="2"/>
  <c r="AQ176" i="2" s="1"/>
  <c r="AF175" i="2"/>
  <c r="AI175" i="2" s="1"/>
  <c r="AG175" i="2"/>
  <c r="AQ175" i="4" l="1"/>
  <c r="AS175" i="4" s="1"/>
  <c r="AP176" i="4"/>
  <c r="AG177" i="4"/>
  <c r="AR177" i="4"/>
  <c r="AE178" i="4"/>
  <c r="AL177" i="4"/>
  <c r="AF177" i="4"/>
  <c r="AI177" i="4" s="1"/>
  <c r="AN176" i="4"/>
  <c r="AO176" i="4"/>
  <c r="AE177" i="2"/>
  <c r="AL176" i="2"/>
  <c r="AR176" i="2"/>
  <c r="AS176" i="2"/>
  <c r="AN175" i="2"/>
  <c r="AO176" i="2"/>
  <c r="AP177" i="2"/>
  <c r="AQ177" i="2" s="1"/>
  <c r="AF176" i="2"/>
  <c r="AI176" i="2" s="1"/>
  <c r="AG176" i="2"/>
  <c r="AE179" i="4" l="1"/>
  <c r="AR178" i="4"/>
  <c r="AL178" i="4"/>
  <c r="AG178" i="4"/>
  <c r="AF178" i="4"/>
  <c r="AI178" i="4" s="1"/>
  <c r="AP177" i="4"/>
  <c r="AQ176" i="4"/>
  <c r="AS176" i="4" s="1"/>
  <c r="AO177" i="4"/>
  <c r="AN177" i="4"/>
  <c r="AE178" i="2"/>
  <c r="AL177" i="2"/>
  <c r="AR177" i="2"/>
  <c r="AS177" i="2"/>
  <c r="AN176" i="2"/>
  <c r="AO177" i="2"/>
  <c r="AP178" i="2"/>
  <c r="AQ178" i="2" s="1"/>
  <c r="AN177" i="2"/>
  <c r="AF177" i="2"/>
  <c r="AI177" i="2" s="1"/>
  <c r="AG177" i="2"/>
  <c r="AQ177" i="4" l="1"/>
  <c r="AS177" i="4" s="1"/>
  <c r="AP178" i="4"/>
  <c r="AN178" i="4"/>
  <c r="AO178" i="4"/>
  <c r="AL179" i="4"/>
  <c r="AE180" i="4"/>
  <c r="AF179" i="4"/>
  <c r="AI179" i="4" s="1"/>
  <c r="AR179" i="4"/>
  <c r="AG179" i="4"/>
  <c r="AE179" i="2"/>
  <c r="AR178" i="2"/>
  <c r="AL178" i="2"/>
  <c r="AS178" i="2"/>
  <c r="AP179" i="2"/>
  <c r="AQ179" i="2" s="1"/>
  <c r="AO178" i="2"/>
  <c r="AN178" i="2"/>
  <c r="AF178" i="2"/>
  <c r="AI178" i="2" s="1"/>
  <c r="AG178" i="2"/>
  <c r="AG180" i="4" l="1"/>
  <c r="AR180" i="4"/>
  <c r="AF180" i="4"/>
  <c r="AI180" i="4" s="1"/>
  <c r="AL180" i="4"/>
  <c r="AE181" i="4"/>
  <c r="AO179" i="4"/>
  <c r="AN179" i="4"/>
  <c r="AQ178" i="4"/>
  <c r="AS178" i="4" s="1"/>
  <c r="AP179" i="4"/>
  <c r="AE180" i="2"/>
  <c r="AR179" i="2"/>
  <c r="AL179" i="2"/>
  <c r="AS179" i="2"/>
  <c r="AP180" i="2"/>
  <c r="AQ180" i="2" s="1"/>
  <c r="AO179" i="2"/>
  <c r="AN179" i="2"/>
  <c r="AF179" i="2"/>
  <c r="AI179" i="2" s="1"/>
  <c r="AG179" i="2"/>
  <c r="AO180" i="4" l="1"/>
  <c r="AN180" i="4"/>
  <c r="AE182" i="4"/>
  <c r="AR181" i="4"/>
  <c r="AL181" i="4"/>
  <c r="AG181" i="4"/>
  <c r="AF181" i="4"/>
  <c r="AI181" i="4" s="1"/>
  <c r="AP180" i="4"/>
  <c r="AQ179" i="4"/>
  <c r="AS179" i="4" s="1"/>
  <c r="AE181" i="2"/>
  <c r="AL180" i="2"/>
  <c r="AR180" i="2"/>
  <c r="AS180" i="2"/>
  <c r="AO180" i="2"/>
  <c r="AP181" i="2"/>
  <c r="AQ181" i="2" s="1"/>
  <c r="AF180" i="2"/>
  <c r="AI180" i="2" s="1"/>
  <c r="AG180" i="2"/>
  <c r="AQ180" i="4" l="1"/>
  <c r="AS180" i="4" s="1"/>
  <c r="AP181" i="4"/>
  <c r="AO181" i="4"/>
  <c r="AN181" i="4"/>
  <c r="AF182" i="4"/>
  <c r="AI182" i="4" s="1"/>
  <c r="AL182" i="4"/>
  <c r="AR182" i="4"/>
  <c r="AG182" i="4"/>
  <c r="AE183" i="4"/>
  <c r="AE182" i="2"/>
  <c r="AL181" i="2"/>
  <c r="AR181" i="2"/>
  <c r="AS181" i="2"/>
  <c r="AN180" i="2"/>
  <c r="AP182" i="2"/>
  <c r="AQ182" i="2" s="1"/>
  <c r="AO181" i="2"/>
  <c r="AN181" i="2"/>
  <c r="AF181" i="2"/>
  <c r="AI181" i="2" s="1"/>
  <c r="AG181" i="2"/>
  <c r="AN182" i="4" l="1"/>
  <c r="AO182" i="4"/>
  <c r="AQ181" i="4"/>
  <c r="AS181" i="4" s="1"/>
  <c r="AP182" i="4"/>
  <c r="AG183" i="4"/>
  <c r="AE184" i="4"/>
  <c r="AR183" i="4"/>
  <c r="AF183" i="4"/>
  <c r="AI183" i="4" s="1"/>
  <c r="AL183" i="4"/>
  <c r="AE183" i="2"/>
  <c r="AL182" i="2"/>
  <c r="AR182" i="2"/>
  <c r="AS182" i="2"/>
  <c r="AP183" i="2"/>
  <c r="AQ183" i="2" s="1"/>
  <c r="AO182" i="2"/>
  <c r="AN182" i="2"/>
  <c r="AF182" i="2"/>
  <c r="AI182" i="2" s="1"/>
  <c r="AG182" i="2"/>
  <c r="AL184" i="4" l="1"/>
  <c r="AE185" i="4"/>
  <c r="AR184" i="4"/>
  <c r="AF184" i="4"/>
  <c r="AI184" i="4" s="1"/>
  <c r="AG184" i="4"/>
  <c r="AP183" i="4"/>
  <c r="AQ182" i="4"/>
  <c r="AS182" i="4" s="1"/>
  <c r="AO183" i="4"/>
  <c r="AN183" i="4"/>
  <c r="AE184" i="2"/>
  <c r="AL183" i="2"/>
  <c r="AR183" i="2"/>
  <c r="AS183" i="2"/>
  <c r="AO183" i="2"/>
  <c r="AP184" i="2"/>
  <c r="AQ184" i="2" s="1"/>
  <c r="AF183" i="2"/>
  <c r="AI183" i="2" s="1"/>
  <c r="AG183" i="2"/>
  <c r="AQ183" i="4" l="1"/>
  <c r="AS183" i="4" s="1"/>
  <c r="AP184" i="4"/>
  <c r="AG185" i="4"/>
  <c r="AF185" i="4"/>
  <c r="AI185" i="4" s="1"/>
  <c r="AL185" i="4"/>
  <c r="AE186" i="4"/>
  <c r="AR185" i="4"/>
  <c r="AN184" i="4"/>
  <c r="AO184" i="4"/>
  <c r="AE185" i="2"/>
  <c r="AL184" i="2"/>
  <c r="AR184" i="2"/>
  <c r="AS184" i="2"/>
  <c r="AN183" i="2"/>
  <c r="AP185" i="2"/>
  <c r="AQ185" i="2" s="1"/>
  <c r="AO184" i="2"/>
  <c r="AN184" i="2"/>
  <c r="AF184" i="2"/>
  <c r="AI184" i="2" s="1"/>
  <c r="AG184" i="2"/>
  <c r="AE187" i="4" l="1"/>
  <c r="AR186" i="4"/>
  <c r="AG186" i="4"/>
  <c r="AF186" i="4"/>
  <c r="AI186" i="4" s="1"/>
  <c r="AL186" i="4"/>
  <c r="AP185" i="4"/>
  <c r="AQ184" i="4"/>
  <c r="AS184" i="4" s="1"/>
  <c r="AO185" i="4"/>
  <c r="AN185" i="4"/>
  <c r="AE186" i="2"/>
  <c r="AL185" i="2"/>
  <c r="AR185" i="2"/>
  <c r="AS185" i="2"/>
  <c r="AO185" i="2"/>
  <c r="AP186" i="2"/>
  <c r="AQ186" i="2" s="1"/>
  <c r="AF185" i="2"/>
  <c r="AI185" i="2" s="1"/>
  <c r="AG185" i="2"/>
  <c r="AN186" i="4" l="1"/>
  <c r="AO186" i="4"/>
  <c r="AP186" i="4"/>
  <c r="AQ185" i="4"/>
  <c r="AS185" i="4" s="1"/>
  <c r="AL187" i="4"/>
  <c r="AF187" i="4"/>
  <c r="AI187" i="4" s="1"/>
  <c r="AE188" i="4"/>
  <c r="AG187" i="4"/>
  <c r="AR187" i="4"/>
  <c r="AE187" i="2"/>
  <c r="AR186" i="2"/>
  <c r="AL186" i="2"/>
  <c r="AN186" i="2" s="1"/>
  <c r="AS186" i="2"/>
  <c r="AN185" i="2"/>
  <c r="AP187" i="2"/>
  <c r="AQ187" i="2" s="1"/>
  <c r="AO186" i="2"/>
  <c r="AF186" i="2"/>
  <c r="AI186" i="2" s="1"/>
  <c r="AG186" i="2"/>
  <c r="AG188" i="4" l="1"/>
  <c r="AF188" i="4"/>
  <c r="AI188" i="4" s="1"/>
  <c r="AE189" i="4"/>
  <c r="AL188" i="4"/>
  <c r="AR188" i="4"/>
  <c r="AN187" i="4"/>
  <c r="AO187" i="4"/>
  <c r="AQ186" i="4"/>
  <c r="AS186" i="4" s="1"/>
  <c r="AP187" i="4"/>
  <c r="AE188" i="2"/>
  <c r="AR187" i="2"/>
  <c r="AL187" i="2"/>
  <c r="AO187" i="2" s="1"/>
  <c r="AS187" i="2"/>
  <c r="AP188" i="2"/>
  <c r="AQ188" i="2" s="1"/>
  <c r="AF187" i="2"/>
  <c r="AI187" i="2" s="1"/>
  <c r="AG187" i="2"/>
  <c r="AO188" i="4" l="1"/>
  <c r="AN188" i="4"/>
  <c r="AE190" i="4"/>
  <c r="AR189" i="4"/>
  <c r="AL189" i="4"/>
  <c r="AF189" i="4"/>
  <c r="AI189" i="4" s="1"/>
  <c r="AG189" i="4"/>
  <c r="AP188" i="4"/>
  <c r="AQ187" i="4"/>
  <c r="AS187" i="4" s="1"/>
  <c r="AN187" i="2"/>
  <c r="AE189" i="2"/>
  <c r="AR188" i="2"/>
  <c r="AL188" i="2"/>
  <c r="AS188" i="2"/>
  <c r="AP189" i="2"/>
  <c r="AQ189" i="2" s="1"/>
  <c r="AO188" i="2"/>
  <c r="AN188" i="2"/>
  <c r="AF188" i="2"/>
  <c r="AI188" i="2" s="1"/>
  <c r="AG188" i="2"/>
  <c r="AF190" i="4" l="1"/>
  <c r="AI190" i="4" s="1"/>
  <c r="AL190" i="4"/>
  <c r="AG190" i="4"/>
  <c r="AE191" i="4"/>
  <c r="AR190" i="4"/>
  <c r="AQ188" i="4"/>
  <c r="AS188" i="4" s="1"/>
  <c r="AP189" i="4"/>
  <c r="AO189" i="4"/>
  <c r="AN189" i="4"/>
  <c r="AE190" i="2"/>
  <c r="AL189" i="2"/>
  <c r="AR189" i="2"/>
  <c r="AS189" i="2"/>
  <c r="AP190" i="2"/>
  <c r="AQ190" i="2" s="1"/>
  <c r="AO189" i="2"/>
  <c r="AN189" i="2"/>
  <c r="AF189" i="2"/>
  <c r="AI189" i="2" s="1"/>
  <c r="AG189" i="2"/>
  <c r="AQ189" i="4" l="1"/>
  <c r="AS189" i="4" s="1"/>
  <c r="AP190" i="4"/>
  <c r="AG191" i="4"/>
  <c r="AE192" i="4"/>
  <c r="AR191" i="4"/>
  <c r="AF191" i="4"/>
  <c r="AI191" i="4" s="1"/>
  <c r="AL191" i="4"/>
  <c r="AN190" i="4"/>
  <c r="AO190" i="4"/>
  <c r="AE191" i="2"/>
  <c r="AL190" i="2"/>
  <c r="AR190" i="2"/>
  <c r="AS190" i="2"/>
  <c r="AO190" i="2"/>
  <c r="AP191" i="2"/>
  <c r="AQ191" i="2" s="1"/>
  <c r="AF190" i="2"/>
  <c r="AI190" i="2" s="1"/>
  <c r="AG190" i="2"/>
  <c r="AP191" i="4" l="1"/>
  <c r="AQ190" i="4"/>
  <c r="AS190" i="4" s="1"/>
  <c r="AO191" i="4"/>
  <c r="AN191" i="4"/>
  <c r="AL192" i="4"/>
  <c r="AE193" i="4"/>
  <c r="AR192" i="4"/>
  <c r="AG192" i="4"/>
  <c r="AF192" i="4"/>
  <c r="AI192" i="4" s="1"/>
  <c r="AE192" i="2"/>
  <c r="AR191" i="2"/>
  <c r="AL191" i="2"/>
  <c r="AS191" i="2"/>
  <c r="AN190" i="2"/>
  <c r="AP192" i="2"/>
  <c r="AQ192" i="2" s="1"/>
  <c r="AO191" i="2"/>
  <c r="AN191" i="2"/>
  <c r="AF191" i="2"/>
  <c r="AI191" i="2" s="1"/>
  <c r="AG191" i="2"/>
  <c r="AG193" i="4" l="1"/>
  <c r="AF193" i="4"/>
  <c r="AI193" i="4" s="1"/>
  <c r="AE194" i="4"/>
  <c r="AR193" i="4"/>
  <c r="AL193" i="4"/>
  <c r="AO192" i="4"/>
  <c r="AN192" i="4"/>
  <c r="AQ191" i="4"/>
  <c r="AS191" i="4" s="1"/>
  <c r="AP192" i="4"/>
  <c r="AE193" i="2"/>
  <c r="AL192" i="2"/>
  <c r="AR192" i="2"/>
  <c r="AS192" i="2"/>
  <c r="AP193" i="2"/>
  <c r="AQ193" i="2" s="1"/>
  <c r="AO192" i="2"/>
  <c r="AN192" i="2"/>
  <c r="AF192" i="2"/>
  <c r="AI192" i="2" s="1"/>
  <c r="AG192" i="2"/>
  <c r="AO193" i="4" l="1"/>
  <c r="AN193" i="4"/>
  <c r="AE195" i="4"/>
  <c r="AR194" i="4"/>
  <c r="AF194" i="4"/>
  <c r="AI194" i="4" s="1"/>
  <c r="AL194" i="4"/>
  <c r="AG194" i="4"/>
  <c r="AP193" i="4"/>
  <c r="AQ192" i="4"/>
  <c r="AS192" i="4" s="1"/>
  <c r="AE194" i="2"/>
  <c r="AL193" i="2"/>
  <c r="AR193" i="2"/>
  <c r="AS193" i="2"/>
  <c r="AO193" i="2"/>
  <c r="AP194" i="2"/>
  <c r="AQ194" i="2" s="1"/>
  <c r="AF193" i="2"/>
  <c r="AI193" i="2" s="1"/>
  <c r="AG193" i="2"/>
  <c r="AP194" i="4" l="1"/>
  <c r="AQ193" i="4"/>
  <c r="AS193" i="4" s="1"/>
  <c r="AL195" i="4"/>
  <c r="AF195" i="4"/>
  <c r="AI195" i="4" s="1"/>
  <c r="AE196" i="4"/>
  <c r="AG195" i="4"/>
  <c r="AR195" i="4"/>
  <c r="AO194" i="4"/>
  <c r="AN194" i="4"/>
  <c r="AE195" i="2"/>
  <c r="AR194" i="2"/>
  <c r="AL194" i="2"/>
  <c r="AS194" i="2"/>
  <c r="AN193" i="2"/>
  <c r="AO194" i="2"/>
  <c r="AP195" i="2"/>
  <c r="AQ195" i="2" s="1"/>
  <c r="AF194" i="2"/>
  <c r="AI194" i="2" s="1"/>
  <c r="AG194" i="2"/>
  <c r="AG196" i="4" l="1"/>
  <c r="AF196" i="4"/>
  <c r="AI196" i="4" s="1"/>
  <c r="AE197" i="4"/>
  <c r="AR196" i="4"/>
  <c r="AL196" i="4"/>
  <c r="AN195" i="4"/>
  <c r="AO195" i="4"/>
  <c r="AQ194" i="4"/>
  <c r="AS194" i="4" s="1"/>
  <c r="AP195" i="4"/>
  <c r="AE196" i="2"/>
  <c r="AR195" i="2"/>
  <c r="AL195" i="2"/>
  <c r="AS195" i="2"/>
  <c r="AN194" i="2"/>
  <c r="AO195" i="2"/>
  <c r="AP196" i="2"/>
  <c r="AQ196" i="2" s="1"/>
  <c r="AF195" i="2"/>
  <c r="AI195" i="2" s="1"/>
  <c r="AG195" i="2"/>
  <c r="AF197" i="4" l="1"/>
  <c r="AO196" i="4"/>
  <c r="AO198" i="4" s="1"/>
  <c r="AN196" i="4"/>
  <c r="AN198" i="4" s="1"/>
  <c r="AM199" i="4" s="1"/>
  <c r="AL198" i="4"/>
  <c r="AP196" i="4"/>
  <c r="AQ196" i="4" s="1"/>
  <c r="AQ195" i="4"/>
  <c r="AS195" i="4" s="1"/>
  <c r="AE197" i="2"/>
  <c r="AF197" i="2" s="1"/>
  <c r="AR196" i="2"/>
  <c r="AL196" i="2"/>
  <c r="AL198" i="2" s="1"/>
  <c r="AN195" i="2"/>
  <c r="AO196" i="2"/>
  <c r="AN196" i="2"/>
  <c r="AF196" i="2"/>
  <c r="AI196" i="2" s="1"/>
  <c r="AG196" i="2"/>
  <c r="AS196" i="4" l="1"/>
  <c r="AS198" i="4" s="1"/>
  <c r="AQ198" i="4"/>
  <c r="AS196" i="2"/>
  <c r="AS198" i="2" s="1"/>
  <c r="AQ198" i="2"/>
  <c r="AN198" i="2"/>
  <c r="AM200" i="2" s="1"/>
  <c r="AR198" i="2"/>
  <c r="AO198" i="2"/>
  <c r="AI198" i="2"/>
  <c r="AG198" i="2" l="1"/>
  <c r="AG201" i="2" l="1"/>
  <c r="AG202" i="2" s="1"/>
  <c r="AI200" i="2"/>
  <c r="AR198" i="4" l="1"/>
  <c r="AG198" i="4" l="1"/>
  <c r="AI198" i="4"/>
  <c r="AG200" i="4" l="1"/>
  <c r="AG201" i="4" s="1"/>
  <c r="AI199" i="4"/>
</calcChain>
</file>

<file path=xl/sharedStrings.xml><?xml version="1.0" encoding="utf-8"?>
<sst xmlns="http://schemas.openxmlformats.org/spreadsheetml/2006/main" count="143" uniqueCount="70">
  <si>
    <t>Gender</t>
  </si>
  <si>
    <t>Male</t>
  </si>
  <si>
    <t>Smoker Status</t>
  </si>
  <si>
    <t>NonSmoker</t>
  </si>
  <si>
    <t>Issue Age Group</t>
  </si>
  <si>
    <t>18-24</t>
  </si>
  <si>
    <t>Attained Age Group</t>
  </si>
  <si>
    <t>Amount Exposed</t>
  </si>
  <si>
    <t>Policies Exposed</t>
  </si>
  <si>
    <t>Death Claim Amount</t>
  </si>
  <si>
    <t>Sum of Number of Deaths</t>
  </si>
  <si>
    <t>issueage</t>
  </si>
  <si>
    <t>currentage</t>
  </si>
  <si>
    <t>isMale</t>
  </si>
  <si>
    <t>isSmoker</t>
  </si>
  <si>
    <t>25-29</t>
  </si>
  <si>
    <t>age since issue</t>
  </si>
  <si>
    <t>one-year conditional mortality NOW</t>
  </si>
  <si>
    <t>one-year conditional mortality AT ISSUE</t>
  </si>
  <si>
    <t>one-year conditional survival AT ISSUE</t>
  </si>
  <si>
    <t>unconditional survival AT ISSUE</t>
  </si>
  <si>
    <t>unconditional survival NOW</t>
  </si>
  <si>
    <t>Yield curve now</t>
  </si>
  <si>
    <t>statutory_interest</t>
  </si>
  <si>
    <t>premium_markup</t>
  </si>
  <si>
    <t>Lapse rate</t>
  </si>
  <si>
    <t>one-year conditional persistency AT ISSUE</t>
  </si>
  <si>
    <t>unconditional persistency AT ISSUE</t>
  </si>
  <si>
    <t>one-year conditional persistency NOW</t>
  </si>
  <si>
    <t>unconditional persistency NOW</t>
  </si>
  <si>
    <t>Level premium</t>
  </si>
  <si>
    <t>Issuer profit</t>
  </si>
  <si>
    <t>Lapse experience</t>
  </si>
  <si>
    <t>No lapse</t>
  </si>
  <si>
    <t>Death benefit pay probability</t>
  </si>
  <si>
    <t>Issuer discounter at issue</t>
  </si>
  <si>
    <t>Issuer profit with variable premium</t>
  </si>
  <si>
    <t>Issuer profit discounted with breakeven premium</t>
  </si>
  <si>
    <t>Total</t>
  </si>
  <si>
    <t>level premium unmarked-up</t>
  </si>
  <si>
    <t>Issuer profit with unmarked-up level premium</t>
  </si>
  <si>
    <t>one-year conditional survival NOW</t>
  </si>
  <si>
    <t>loan rate</t>
  </si>
  <si>
    <t>level premium marked up</t>
  </si>
  <si>
    <t>discouter with yield curve</t>
  </si>
  <si>
    <t>Unconditional mortality NOW</t>
  </si>
  <si>
    <t>user discounted probablistic death benefit</t>
  </si>
  <si>
    <t>user profit (death benefit - debt)</t>
  </si>
  <si>
    <t>user discounted probablistic profit</t>
  </si>
  <si>
    <t>surrender value</t>
  </si>
  <si>
    <t>cash interest</t>
  </si>
  <si>
    <t>additional cash</t>
  </si>
  <si>
    <t>variable premium unmarked up</t>
  </si>
  <si>
    <t>variable premium marked up</t>
  </si>
  <si>
    <t>Unconditional mortality AT ISSUE</t>
  </si>
  <si>
    <t>check</t>
  </si>
  <si>
    <t>cumulative debt until t</t>
  </si>
  <si>
    <t>user discounted probablistic loan</t>
  </si>
  <si>
    <t>lender discounter</t>
  </si>
  <si>
    <t>lender cost of capital</t>
  </si>
  <si>
    <t>lender discounted probablistic profit per period</t>
  </si>
  <si>
    <t>probablistic discounted unpaid premium</t>
  </si>
  <si>
    <t>probablistic discounted repay</t>
  </si>
  <si>
    <t>lender to pay cumulative future value</t>
  </si>
  <si>
    <t>lender to pay cumulative probablistic undiscounted</t>
  </si>
  <si>
    <t>lender to pay cumulative probablistic discounted</t>
  </si>
  <si>
    <t>lender to receive probablistic undiscounted</t>
  </si>
  <si>
    <t>probablistic premium stream</t>
  </si>
  <si>
    <t>probablistic repay from borrower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</si>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</sst>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7" formatCode="_(* #,##0.0000_);_(* \(#,##0.0000\);_(* &quot;-&quot;??_);_(@_)"/>
    <numFmt numFmtId="168" formatCode="_(* #,##0.00000_);_(* \(#,##0.00000\);_(* &quot;-&quot;??_);_(@_)"/>
    <numFmt numFmtId="169" formatCode="_(* #,##0.000000_);_(* \(#,##0.000000\);_(* &quot;-&quot;??_);_(@_)"/>
    <numFmt numFmtId="170" formatCode="_(* #,##0.0000000_);_(* \(#,##0.0000000\);_(* &quot;-&quot;??_);_(@_)"/>
    <numFmt numFmtId="171" formatCode="_(* #,##0.00000000_);_(* \(#,##0.00000000\);_(* &quot;-&quot;??_);_(@_)"/>
    <numFmt numFmtId="173" formatCode="_(* #,##0.0000000000_);_(* \(#,##0.0000000000\);_(* &quot;-&quot;??_);_(@_)"/>
    <numFmt numFmtId="175" formatCode="0.0000"/>
    <numFmt numFmtId="177" formatCode="0.000000"/>
    <numFmt numFmtId="182" formatCode="0.0000000"/>
    <numFmt numFmtId="185" formatCode="0.00000000"/>
    <numFmt numFmtId="186" formatCode="0.000000000"/>
    <numFmt numFmtId="190" formatCode="0.0000000000000"/>
    <numFmt numFmtId="192" formatCode="_(* #,##0.000000000_);_(* \(#,##0.000000000\);_(* &quot;-&quot;?????????_);_(@_)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D4D4D4"/>
      <name val="Var(--vscode-editor-font-family"/>
    </font>
    <font>
      <sz val="12"/>
      <name val="Calibri"/>
      <family val="2"/>
      <scheme val="minor"/>
    </font>
    <font>
      <sz val="12"/>
      <name val="Var(--vscode-editor-font-family"/>
    </font>
    <font>
      <sz val="10"/>
      <name val="Var(--vscode-editor-font-family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72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167" fontId="6" fillId="0" borderId="0" xfId="1" applyNumberFormat="1" applyFont="1"/>
    <xf numFmtId="169" fontId="6" fillId="0" borderId="0" xfId="1" applyNumberFormat="1" applyFont="1"/>
    <xf numFmtId="170" fontId="6" fillId="0" borderId="0" xfId="1" applyNumberFormat="1" applyFont="1"/>
    <xf numFmtId="0" fontId="8" fillId="0" borderId="0" xfId="0" applyFont="1"/>
    <xf numFmtId="175" fontId="7" fillId="0" borderId="0" xfId="1" applyNumberFormat="1" applyFont="1"/>
    <xf numFmtId="0" fontId="6" fillId="0" borderId="0" xfId="0" applyFont="1" applyAlignment="1">
      <alignment wrapText="1"/>
    </xf>
    <xf numFmtId="177" fontId="3" fillId="3" borderId="1" xfId="3" applyNumberFormat="1"/>
    <xf numFmtId="175" fontId="2" fillId="2" borderId="1" xfId="2" applyNumberFormat="1" applyAlignment="1">
      <alignment wrapText="1"/>
    </xf>
    <xf numFmtId="175" fontId="2" fillId="2" borderId="1" xfId="2" applyNumberFormat="1"/>
    <xf numFmtId="175" fontId="3" fillId="3" borderId="1" xfId="3" applyNumberFormat="1"/>
    <xf numFmtId="168" fontId="2" fillId="2" borderId="1" xfId="2" applyNumberFormat="1"/>
    <xf numFmtId="175" fontId="6" fillId="0" borderId="0" xfId="1" applyNumberFormat="1" applyFont="1" applyAlignment="1">
      <alignment wrapText="1"/>
    </xf>
    <xf numFmtId="0" fontId="6" fillId="0" borderId="0" xfId="0" applyFont="1" applyFill="1"/>
    <xf numFmtId="0" fontId="9" fillId="0" borderId="0" xfId="0" applyFont="1" applyBorder="1" applyAlignment="1">
      <alignment wrapText="1"/>
    </xf>
    <xf numFmtId="175" fontId="6" fillId="0" borderId="0" xfId="1" applyNumberFormat="1" applyFont="1" applyFill="1" applyBorder="1"/>
    <xf numFmtId="175" fontId="6" fillId="0" borderId="0" xfId="2" applyNumberFormat="1" applyFont="1" applyFill="1" applyBorder="1"/>
    <xf numFmtId="175" fontId="9" fillId="0" borderId="0" xfId="3" applyNumberFormat="1" applyFont="1" applyFill="1" applyBorder="1"/>
    <xf numFmtId="0" fontId="6" fillId="0" borderId="0" xfId="2" applyFont="1" applyFill="1" applyBorder="1"/>
    <xf numFmtId="0" fontId="6" fillId="0" borderId="0" xfId="0" applyFont="1" applyFill="1" applyBorder="1"/>
    <xf numFmtId="175" fontId="2" fillId="2" borderId="2" xfId="2" applyNumberFormat="1" applyBorder="1" applyAlignment="1">
      <alignment wrapText="1"/>
    </xf>
    <xf numFmtId="175" fontId="3" fillId="3" borderId="2" xfId="3" applyNumberFormat="1" applyBorder="1" applyAlignment="1">
      <alignment wrapText="1"/>
    </xf>
    <xf numFmtId="0" fontId="2" fillId="2" borderId="2" xfId="2" applyBorder="1" applyAlignment="1">
      <alignment wrapText="1"/>
    </xf>
    <xf numFmtId="0" fontId="6" fillId="5" borderId="0" xfId="0" applyFont="1" applyFill="1"/>
    <xf numFmtId="175" fontId="3" fillId="3" borderId="0" xfId="3" applyNumberFormat="1" applyBorder="1" applyAlignment="1">
      <alignment wrapText="1"/>
    </xf>
    <xf numFmtId="175" fontId="6" fillId="0" borderId="0" xfId="0" applyNumberFormat="1" applyFont="1"/>
    <xf numFmtId="182" fontId="6" fillId="0" borderId="0" xfId="0" applyNumberFormat="1" applyFont="1"/>
    <xf numFmtId="175" fontId="2" fillId="2" borderId="3" xfId="2" applyNumberFormat="1" applyBorder="1"/>
    <xf numFmtId="175" fontId="3" fillId="3" borderId="3" xfId="3" applyNumberFormat="1" applyBorder="1"/>
    <xf numFmtId="177" fontId="3" fillId="3" borderId="3" xfId="3" applyNumberFormat="1" applyBorder="1"/>
    <xf numFmtId="168" fontId="2" fillId="2" borderId="3" xfId="2" applyNumberFormat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/>
    <xf numFmtId="175" fontId="6" fillId="0" borderId="0" xfId="0" applyNumberFormat="1" applyFont="1" applyFill="1" applyBorder="1"/>
    <xf numFmtId="175" fontId="9" fillId="0" borderId="0" xfId="0" applyNumberFormat="1" applyFont="1" applyFill="1" applyBorder="1"/>
    <xf numFmtId="0" fontId="9" fillId="0" borderId="0" xfId="0" applyFont="1" applyFill="1" applyBorder="1"/>
    <xf numFmtId="168" fontId="6" fillId="0" borderId="0" xfId="0" applyNumberFormat="1" applyFont="1" applyFill="1" applyBorder="1"/>
    <xf numFmtId="169" fontId="6" fillId="0" borderId="0" xfId="0" applyNumberFormat="1" applyFont="1" applyFill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77" fontId="9" fillId="0" borderId="0" xfId="0" applyNumberFormat="1" applyFont="1" applyFill="1" applyBorder="1"/>
    <xf numFmtId="190" fontId="6" fillId="0" borderId="0" xfId="0" applyNumberFormat="1" applyFont="1"/>
    <xf numFmtId="170" fontId="4" fillId="4" borderId="0" xfId="4" applyNumberFormat="1"/>
    <xf numFmtId="169" fontId="6" fillId="0" borderId="0" xfId="0" applyNumberFormat="1" applyFont="1"/>
    <xf numFmtId="170" fontId="6" fillId="0" borderId="0" xfId="0" applyNumberFormat="1" applyFont="1"/>
    <xf numFmtId="171" fontId="6" fillId="0" borderId="0" xfId="0" applyNumberFormat="1" applyFont="1"/>
    <xf numFmtId="182" fontId="3" fillId="3" borderId="1" xfId="3" applyNumberFormat="1"/>
    <xf numFmtId="186" fontId="3" fillId="3" borderId="1" xfId="3" applyNumberFormat="1"/>
    <xf numFmtId="171" fontId="6" fillId="0" borderId="0" xfId="0" applyNumberFormat="1" applyFont="1" applyFill="1"/>
    <xf numFmtId="182" fontId="6" fillId="0" borderId="0" xfId="0" applyNumberFormat="1" applyFont="1" applyAlignment="1">
      <alignment wrapText="1"/>
    </xf>
    <xf numFmtId="182" fontId="6" fillId="0" borderId="0" xfId="0" applyNumberFormat="1" applyFont="1" applyFill="1"/>
    <xf numFmtId="169" fontId="6" fillId="0" borderId="0" xfId="0" applyNumberFormat="1" applyFont="1" applyFill="1"/>
    <xf numFmtId="170" fontId="6" fillId="0" borderId="0" xfId="0" applyNumberFormat="1" applyFont="1" applyFill="1"/>
    <xf numFmtId="182" fontId="3" fillId="3" borderId="3" xfId="3" applyNumberFormat="1" applyBorder="1"/>
    <xf numFmtId="170" fontId="6" fillId="7" borderId="0" xfId="0" applyNumberFormat="1" applyFont="1" applyFill="1"/>
    <xf numFmtId="173" fontId="6" fillId="0" borderId="0" xfId="0" applyNumberFormat="1" applyFont="1"/>
    <xf numFmtId="173" fontId="6" fillId="0" borderId="0" xfId="0" applyNumberFormat="1" applyFont="1" applyFill="1"/>
    <xf numFmtId="192" fontId="6" fillId="0" borderId="0" xfId="0" applyNumberFormat="1" applyFont="1"/>
    <xf numFmtId="192" fontId="6" fillId="0" borderId="0" xfId="0" applyNumberFormat="1" applyFont="1" applyFill="1"/>
    <xf numFmtId="173" fontId="6" fillId="7" borderId="0" xfId="0" applyNumberFormat="1" applyFont="1" applyFill="1"/>
    <xf numFmtId="170" fontId="6" fillId="8" borderId="0" xfId="0" applyNumberFormat="1" applyFont="1" applyFill="1"/>
    <xf numFmtId="182" fontId="4" fillId="4" borderId="1" xfId="4" applyNumberFormat="1" applyBorder="1"/>
    <xf numFmtId="170" fontId="6" fillId="0" borderId="0" xfId="0" applyNumberFormat="1" applyFont="1" applyFill="1" applyBorder="1"/>
    <xf numFmtId="185" fontId="2" fillId="2" borderId="1" xfId="2" applyNumberFormat="1"/>
    <xf numFmtId="185" fontId="2" fillId="2" borderId="3" xfId="2" applyNumberFormat="1" applyBorder="1"/>
    <xf numFmtId="182" fontId="0" fillId="3" borderId="3" xfId="3" applyNumberFormat="1" applyFont="1" applyBorder="1"/>
    <xf numFmtId="175" fontId="0" fillId="3" borderId="3" xfId="3" applyNumberFormat="1" applyFont="1" applyBorder="1"/>
    <xf numFmtId="0" fontId="2" fillId="6" borderId="1" xfId="0" applyNumberFormat="1" applyFont="1" applyFill="1" applyBorder="1"/>
    <xf numFmtId="182" fontId="4" fillId="9" borderId="1" xfId="0" applyNumberFormat="1" applyFont="1" applyFill="1" applyBorder="1"/>
  </cellXfs>
  <cellStyles count="5">
    <cellStyle name="Accent2" xfId="4" builtinId="33"/>
    <cellStyle name="Calculation" xfId="3" builtinId="22"/>
    <cellStyle name="Comma" xfId="1" builtinId="3"/>
    <cellStyle name="Input" xfId="2" builtinId="20"/>
    <cellStyle name="Normal" xfId="0" builtinId="0"/>
  </cellStyles>
  <dxfs count="1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2" formatCode="_(* #,##0.000000000_);_(* \(#,##0.000000000\);_(* &quot;-&quot;???????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82" formatCode="0.0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82" formatCode="0.0000000"/>
      <fill>
        <patternFill patternType="solid">
          <fgColor indexed="64"/>
          <bgColor theme="5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_(* #,##0.00000000_);_(* \(#,##0.0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(* #,##0.00000_);_(* \(#,##0.0000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7" formatCode="0.00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0" formatCode="General"/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ar(--vscode-editor-font-family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2" formatCode="_(* #,##0.000000000_);_(* \(#,##0.000000000\);_(* &quot;-&quot;???????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82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82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</dxf>
    <dxf>
      <numFmt numFmtId="175" formatCode="0.0000"/>
      <border outline="0">
        <left style="thin">
          <color rgb="FF7F7F7F"/>
        </left>
      </border>
    </dxf>
    <dxf>
      <numFmt numFmtId="186" formatCode="0.000000000"/>
    </dxf>
    <dxf>
      <numFmt numFmtId="175" formatCode="0.0000"/>
      <border outline="0">
        <right style="thin">
          <color rgb="FF7F7F7F"/>
        </right>
      </border>
    </dxf>
    <dxf>
      <numFmt numFmtId="175" formatCode="0.0000"/>
      <border outline="0">
        <left style="thin">
          <color rgb="FF7F7F7F"/>
        </left>
      </border>
    </dxf>
    <dxf>
      <numFmt numFmtId="182" formatCode="0.0000000"/>
      <border outline="0">
        <left style="thin">
          <color rgb="FF7F7F7F"/>
        </left>
      </border>
    </dxf>
    <dxf>
      <numFmt numFmtId="175" formatCode="0.0000"/>
      <border outline="0">
        <left style="thin">
          <color rgb="FF7F7F7F"/>
        </left>
        <right style="thin">
          <color rgb="FF7F7F7F"/>
        </right>
      </border>
    </dxf>
    <dxf>
      <numFmt numFmtId="175" formatCode="0.0000"/>
      <border outline="0">
        <left/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0" formatCode="0.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0" formatCode="0.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border outline="0">
        <left style="thin">
          <color rgb="FF7F7F7F"/>
        </left>
        <right/>
      </border>
    </dxf>
    <dxf>
      <numFmt numFmtId="177" formatCode="0.000000"/>
    </dxf>
    <dxf>
      <numFmt numFmtId="175" formatCode="0.0000"/>
    </dxf>
    <dxf>
      <numFmt numFmtId="175" formatCode="0.0000"/>
      <border outline="0">
        <right style="thin">
          <color rgb="FF7F7F7F"/>
        </right>
      </border>
    </dxf>
    <dxf>
      <numFmt numFmtId="175" formatCode="0.0000"/>
    </dxf>
    <dxf>
      <numFmt numFmtId="175" formatCode="0.0000"/>
      <border outline="0">
        <left style="thin">
          <color rgb="FF7F7F7F"/>
        </left>
        <right style="thin">
          <color rgb="FF7F7F7F"/>
        </right>
      </border>
    </dxf>
    <dxf>
      <numFmt numFmtId="175" formatCode="0.0000"/>
      <border outline="0">
        <left style="thin">
          <color rgb="FF7F7F7F"/>
        </left>
        <right style="thin">
          <color rgb="FF7F7F7F"/>
        </right>
      </border>
    </dxf>
    <dxf>
      <numFmt numFmtId="185" formatCode="0.00000000"/>
      <border outline="0">
        <left/>
        <right style="thin">
          <color rgb="FF7F7F7F"/>
        </right>
      </border>
    </dxf>
    <dxf>
      <numFmt numFmtId="17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ar(--vscode-editor-font-family"/>
        <scheme val="none"/>
      </font>
      <numFmt numFmtId="17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2" formatCode="_(* #,##0.000000000_);_(* \(#,##0.000000000\);_(* &quot;-&quot;???????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82" formatCode="0.0000000"/>
      <fill>
        <patternFill patternType="none">
          <fgColor indexed="64"/>
          <bgColor indexed="65"/>
        </patternFill>
      </fill>
    </dxf>
    <dxf>
      <numFmt numFmtId="182" formatCode="0.000000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_(* #,##0.00000000_);_(* \(#,##0.00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(* #,##0.00000_);_(* \(#,##0.0000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7" formatCode="0.00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ar(--vscode-editor-font-family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2" formatCode="_(* #,##0.000000000_);_(* \(#,##0.000000000\);_(* &quot;-&quot;???????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(* #,##0.0000000000_);_(* \(#,##0.0000000000\);_(* &quot;-&quot;??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82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82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</dxf>
    <dxf>
      <numFmt numFmtId="175" formatCode="0.0000"/>
      <border outline="0">
        <left style="thin">
          <color rgb="FF7F7F7F"/>
        </left>
      </border>
    </dxf>
    <dxf>
      <numFmt numFmtId="186" formatCode="0.000000000"/>
    </dxf>
    <dxf>
      <numFmt numFmtId="175" formatCode="0.0000"/>
      <border outline="0">
        <right style="thin">
          <color rgb="FF7F7F7F"/>
        </right>
      </border>
    </dxf>
    <dxf>
      <numFmt numFmtId="175" formatCode="0.0000"/>
      <border outline="0">
        <left style="thin">
          <color rgb="FF7F7F7F"/>
        </left>
      </border>
    </dxf>
    <dxf>
      <numFmt numFmtId="182" formatCode="0.0000000"/>
      <border outline="0">
        <left style="thin">
          <color rgb="FF7F7F7F"/>
        </left>
      </border>
    </dxf>
    <dxf>
      <numFmt numFmtId="175" formatCode="0.0000"/>
      <border outline="0">
        <left style="thin">
          <color rgb="FF7F7F7F"/>
        </left>
        <right style="thin">
          <color rgb="FF7F7F7F"/>
        </right>
      </border>
    </dxf>
    <dxf>
      <numFmt numFmtId="175" formatCode="0.0000"/>
      <border outline="0">
        <left/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0" formatCode="0.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0" formatCode="0.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border outline="0">
        <left style="thin">
          <color rgb="FF7F7F7F"/>
        </left>
        <right/>
      </border>
    </dxf>
    <dxf>
      <numFmt numFmtId="177" formatCode="0.000000"/>
    </dxf>
    <dxf>
      <numFmt numFmtId="175" formatCode="0.0000"/>
    </dxf>
    <dxf>
      <numFmt numFmtId="175" formatCode="0.0000"/>
      <border outline="0">
        <right style="thin">
          <color rgb="FF7F7F7F"/>
        </right>
      </border>
    </dxf>
    <dxf>
      <numFmt numFmtId="175" formatCode="0.0000"/>
    </dxf>
    <dxf>
      <numFmt numFmtId="175" formatCode="0.0000"/>
      <border outline="0">
        <left style="thin">
          <color rgb="FF7F7F7F"/>
        </left>
        <right style="thin">
          <color rgb="FF7F7F7F"/>
        </right>
      </border>
    </dxf>
    <dxf>
      <numFmt numFmtId="175" formatCode="0.0000"/>
      <border outline="0">
        <left style="thin">
          <color rgb="FF7F7F7F"/>
        </left>
        <right style="thin">
          <color rgb="FF7F7F7F"/>
        </right>
      </border>
    </dxf>
    <dxf>
      <numFmt numFmtId="175" formatCode="0.0000"/>
      <border outline="0">
        <left/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ar(--vscode-editor-font-family"/>
        <scheme val="none"/>
      </font>
      <numFmt numFmtId="17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48C82A-81DA-3344-9001-7BFEF37C1810}" name="Table1" displayName="Table1" ref="A16:AS198" totalsRowCount="1" headerRowDxfId="183" totalsRowDxfId="182">
  <autoFilter ref="A16:AS197" xr:uid="{569CBA8E-2CE4-154E-94ED-01B0B599834F}"/>
  <tableColumns count="45">
    <tableColumn id="1" xr3:uid="{B569D5AC-0172-5949-9287-6FDCDE373F1C}" name="age since issue" totalsRowLabel="Total" dataDxfId="181" totalsRowDxfId="136"/>
    <tableColumn id="19" xr3:uid="{96C17EEA-5263-A240-A8C2-FC50BD5A51DF}" name="Lapse experience" dataDxfId="180" totalsRowDxfId="135" dataCellStyle="Comma"/>
    <tableColumn id="18" xr3:uid="{E68378A2-8B48-1842-AC43-0A532D712262}" name="No lapse" dataDxfId="179" totalsRowDxfId="134"/>
    <tableColumn id="9" xr3:uid="{A8C66CA1-36BB-6D42-85ED-DCE67BB8A7BA}" name="Lapse rate" dataDxfId="178" totalsRowDxfId="133" dataCellStyle="Comma"/>
    <tableColumn id="2" xr3:uid="{BAA660CB-C412-0246-88EA-D5A68365FD18}" name="one-year conditional mortality AT ISSUE" dataDxfId="177" totalsRowDxfId="132" dataCellStyle="Input"/>
    <tableColumn id="3" xr3:uid="{04A7DE2B-643A-F34A-A67E-C5CEC16E07D3}" name="one-year conditional survival AT ISSUE" dataDxfId="176" totalsRowDxfId="131" dataCellStyle="Calculation">
      <calculatedColumnFormula>1-Table1[[#This Row],[one-year conditional mortality AT ISSUE]]</calculatedColumnFormula>
    </tableColumn>
    <tableColumn id="4" xr3:uid="{B1A8B702-44E7-114F-8EC3-1D53591B87E1}" name="unconditional survival AT ISSUE" totalsRowFunction="sum" dataDxfId="175" totalsRowDxfId="130" dataCellStyle="Calculation">
      <calculatedColumnFormula>PRODUCT(F$17:F17)</calculatedColumnFormula>
    </tableColumn>
    <tableColumn id="11" xr3:uid="{FB6A6A8C-65C5-2646-85A7-20A52D9071D3}" name="one-year conditional persistency AT ISSUE" dataDxfId="174" totalsRowDxfId="129" dataCellStyle="Calculation">
      <calculatedColumnFormula>Table1[[#This Row],[one-year conditional survival AT ISSUE]]*(1-Table1[[#This Row],[Lapse rate]])</calculatedColumnFormula>
    </tableColumn>
    <tableColumn id="12" xr3:uid="{6C12E4D6-0AF9-2A41-9227-43AA1C060329}" name="unconditional persistency AT ISSUE" dataDxfId="173" totalsRowDxfId="128" dataCellStyle="Calculation">
      <calculatedColumnFormula>PRODUCT(H$17:H17)</calculatedColumnFormula>
    </tableColumn>
    <tableColumn id="30" xr3:uid="{CCC7CE56-CA23-1640-87F3-65D7C767379B}" name="Unconditional mortality AT ISSUE" totalsRowFunction="sum" dataDxfId="172" totalsRowDxfId="127" dataCellStyle="Calculation">
      <calculatedColumnFormula>G16*Table1[[#This Row],[one-year conditional mortality AT ISSUE]]</calculatedColumnFormula>
    </tableColumn>
    <tableColumn id="17" xr3:uid="{CC8E771A-7F44-2048-81D2-56E33E196B0B}" name="Death benefit pay probability" totalsRowFunction="sum" dataDxfId="171" totalsRowDxfId="126" dataCellStyle="Calculation">
      <calculatedColumnFormula>I16*Table1[[#This Row],[one-year conditional mortality AT ISSUE]]</calculatedColumnFormula>
    </tableColumn>
    <tableColumn id="15" xr3:uid="{C8D50116-6356-2D48-BEDA-C4F9B66F1A1C}" name="level premium unmarked-up" dataDxfId="170" totalsRowDxfId="125" dataCellStyle="Calculation">
      <calculatedColumnFormula>$B$1</calculatedColumnFormula>
    </tableColumn>
    <tableColumn id="16" xr3:uid="{B7976E48-9893-2D4D-B351-615E2C8C9087}" name="variable premium unmarked up" dataDxfId="169" totalsRowDxfId="124">
      <calculatedColumnFormula>Table1[[#This Row],[Death benefit pay probability]]/Table1[[#This Row],[unconditional persistency AT ISSUE]]</calculatedColumnFormula>
    </tableColumn>
    <tableColumn id="38" xr3:uid="{5E4DE5A5-08CD-EE47-91B3-3B2900B8D685}" name="check" dataDxfId="168" totalsRowDxfId="123">
      <calculatedColumnFormula>Table1[[#This Row],[one-year conditional mortality AT ISSUE]]/Table1[[#This Row],[one-year conditional persistency AT ISSUE]]</calculatedColumnFormula>
    </tableColumn>
    <tableColumn id="21" xr3:uid="{7439BBCD-20BE-0B4B-85CB-D142DFEB8FEB}" name="Issuer discounter at issue" dataDxfId="167" totalsRowDxfId="122" dataCellStyle="Comma">
      <calculatedColumnFormula>(1+$B$14)^(Table1[[#This Row],[age since issue]]-$A$17)</calculatedColumnFormula>
    </tableColumn>
    <tableColumn id="22" xr3:uid="{905DCCF5-FFC3-2F48-8D78-E9149F6C309C}" name="Issuer profit with unmarked-up level premium" dataDxfId="166" totalsRowDxfId="121" dataCellStyle="Comma">
      <calculatedColumnFormula>(Table1[[#This Row],[level premium unmarked-up]]*Table1[[#This Row],[unconditional persistency AT ISSUE]]-Table1[[#This Row],[Death benefit pay probability]])</calculatedColumnFormula>
    </tableColumn>
    <tableColumn id="23" xr3:uid="{BAA3C884-D7E6-AA4D-A25B-8C436F2BAFF5}" name="Issuer profit discounted with breakeven premium" totalsRowFunction="sum" dataDxfId="165" totalsRowDxfId="120" dataCellStyle="Comma">
      <calculatedColumnFormula>Table1[[#This Row],[Issuer profit with unmarked-up level premium]]/Table1[[#This Row],[Issuer discounter at issue]]</calculatedColumnFormula>
    </tableColumn>
    <tableColumn id="24" xr3:uid="{A149D9D7-EC49-4B4C-834D-856977A3C8D5}" name="Issuer profit with variable premium" dataDxfId="164" totalsRowDxfId="119" dataCellStyle="Comma">
      <calculatedColumnFormula>(Table1[[#This Row],[variable premium unmarked up]]*Table1[[#This Row],[unconditional persistency AT ISSUE]]-Table1[[#This Row],[Death benefit pay probability]])</calculatedColumnFormula>
    </tableColumn>
    <tableColumn id="27" xr3:uid="{695FED4B-7E72-F94C-878B-DBAD4F25A175}" name="level premium marked up" dataDxfId="163" totalsRowDxfId="118" dataCellStyle="Comma">
      <calculatedColumnFormula>Table1[[#This Row],[level premium unmarked-up]]*(1+$B$15)</calculatedColumnFormula>
    </tableColumn>
    <tableColumn id="37" xr3:uid="{3E2BE3C1-E8B8-1348-AACC-566A71CDBB51}" name="variable premium marked up" dataDxfId="162" totalsRowDxfId="117" dataCellStyle="Comma">
      <calculatedColumnFormula>MIN(Table1[[#This Row],[variable premium unmarked up]]*(1+$B$15),1)</calculatedColumnFormula>
    </tableColumn>
    <tableColumn id="36" xr3:uid="{C510A5B8-8BD1-B640-9F15-AED29F8703E7}" name="additional cash" dataDxfId="161" totalsRowDxfId="116" dataCellStyle="Comma">
      <calculatedColumnFormula>Table1[[#This Row],[level premium marked up]]-Table1[[#This Row],[variable premium marked up]]</calculatedColumnFormula>
    </tableColumn>
    <tableColumn id="35" xr3:uid="{3130B736-F735-EE40-9101-6E32BF52F1AD}" name="surrender value" dataDxfId="160" totalsRowDxfId="115" dataCellStyle="Comma"/>
    <tableColumn id="5" xr3:uid="{C04AED3F-8E86-8D4E-AF4A-8F97F009E66A}" name="one-year conditional mortality NOW" dataDxfId="159" totalsRowDxfId="114" dataCellStyle="Input"/>
    <tableColumn id="6" xr3:uid="{84B86684-576B-9E4D-9428-D9E4BF77ADBF}" name="one-year conditional survival NOW" dataDxfId="158" totalsRowDxfId="113" dataCellStyle="Calculation">
      <calculatedColumnFormula>1-Table1[[#This Row],[one-year conditional mortality NOW]]</calculatedColumnFormula>
    </tableColumn>
    <tableColumn id="7" xr3:uid="{949B5D11-E9AE-3545-9265-36D51066CAFC}" name="unconditional survival NOW" totalsRowFunction="sum" dataDxfId="157" totalsRowDxfId="112" dataCellStyle="Calculation">
      <calculatedColumnFormula>PRODUCT(X$17:X17)</calculatedColumnFormula>
    </tableColumn>
    <tableColumn id="14" xr3:uid="{9DBDB4CC-DCD1-DA42-ACCE-5D7FD7909BAF}" name="one-year conditional persistency NOW" dataDxfId="156" totalsRowDxfId="111" dataCellStyle="Calculation">
      <calculatedColumnFormula>Table1[[#This Row],[one-year conditional survival NOW]]*(1-Table1[[#This Row],[Lapse rate]])</calculatedColumnFormula>
    </tableColumn>
    <tableColumn id="13" xr3:uid="{B0E0AAE2-3FC9-D142-91BB-16C650737149}" name="unconditional persistency NOW" dataDxfId="155" totalsRowDxfId="110" dataCellStyle="Calculation">
      <calculatedColumnFormula>PRODUCT(Z$17:Z17)</calculatedColumnFormula>
    </tableColumn>
    <tableColumn id="32" xr3:uid="{C75853A9-B91D-8F4E-AEAC-7940D11E9DAC}" name="Unconditional mortality NOW" totalsRowFunction="sum" dataDxfId="154" totalsRowDxfId="109" dataCellStyle="Calculation">
      <calculatedColumnFormula>Y16*Table1[[#This Row],[one-year conditional mortality NOW]]</calculatedColumnFormula>
    </tableColumn>
    <tableColumn id="8" xr3:uid="{39C3EE8E-16F7-BE46-95F5-B2951B3F6537}" name="Yield curve now" dataDxfId="153" totalsRowDxfId="108" dataCellStyle="Input"/>
    <tableColumn id="25" xr3:uid="{B22C59CC-5BA9-4449-97F9-D855F03E5915}" name="discouter with yield curve" dataDxfId="152" totalsRowDxfId="107">
      <calculatedColumnFormula>(1+Table1[[#This Row],[Yield curve now]])^(Table1[[#This Row],[age since issue]]-$A$23)</calculatedColumnFormula>
    </tableColumn>
    <tableColumn id="26" xr3:uid="{E3521D4A-1405-4844-8ACB-927F620C798B}" name="cumulative debt until t" dataDxfId="151" totalsRowDxfId="106">
      <calculatedColumnFormula>AE16*(1+$B$2)+ Table1[[#This Row],[level premium marked up]]</calculatedColumnFormula>
    </tableColumn>
    <tableColumn id="28" xr3:uid="{09FBF151-5214-D948-9787-4B0C1416DC1B}" name="user profit (death benefit - debt)" dataDxfId="150" totalsRowDxfId="105">
      <calculatedColumnFormula>1-Table1[[#This Row],[cumulative debt until t]]</calculatedColumnFormula>
    </tableColumn>
    <tableColumn id="29" xr3:uid="{978AE11C-C2EF-EF46-9817-06A06DEEFCEC}" name="user discounted probablistic loan" totalsRowFunction="sum" dataDxfId="149" totalsRowDxfId="104">
      <calculatedColumnFormula>Table1[[#This Row],[user profit (death benefit - debt)]]*Table1[[#This Row],[Unconditional mortality NOW]]/Table1[[#This Row],[discouter with yield curve]]</calculatedColumnFormula>
    </tableColumn>
    <tableColumn id="33" xr3:uid="{0CEAB04A-A250-5E42-B669-7568518C2977}" name="user discounted probablistic death benefit" totalsRowFunction="sum" dataDxfId="148" totalsRowDxfId="103">
      <calculatedColumnFormula>Table1[[#This Row],[Unconditional mortality NOW]]/Table1[[#This Row],[discouter with yield curve]]</calculatedColumnFormula>
    </tableColumn>
    <tableColumn id="40" xr3:uid="{FD62F919-383D-1B4C-893E-B44A493164F1}" name="user discounted probablistic profit" totalsRowFunction="sum" dataDxfId="147" totalsRowDxfId="102" totalsRowCellStyle="Accent2">
      <calculatedColumnFormula>Table1[[#This Row],[user profit (death benefit - debt)]]*Table1[[#This Row],[Unconditional mortality NOW]]/Table1[[#This Row],[discouter with yield curve]]</calculatedColumnFormula>
    </tableColumn>
    <tableColumn id="42" xr3:uid="{5D99D3F8-4726-F147-B9DF-CE642916F0AE}" name="lender discounter" dataDxfId="146" totalsRowDxfId="101">
      <calculatedColumnFormula>(1+$D$4)^(Table1[[#This Row],[age since issue]]-$A$23)</calculatedColumnFormula>
    </tableColumn>
    <tableColumn id="41" xr3:uid="{387A5BB4-1F40-C447-B9D4-D6D1EACF5DBF}" name="probablistic premium stream" totalsRowFunction="sum" dataDxfId="145" totalsRowDxfId="100">
      <calculatedColumnFormula>Table1[[#This Row],[level premium marked up]]*Table1[[#This Row],[unconditional survival NOW]]</calculatedColumnFormula>
    </tableColumn>
    <tableColumn id="43" xr3:uid="{53A64509-4270-1C4C-A0FE-4C84AD52C70E}" name="probablistic repay from borrower" totalsRowFunction="sum" dataDxfId="144" totalsRowDxfId="99">
      <calculatedColumnFormula>Table1[[#This Row],[probablistic premium stream]]/Table1[[#This Row],[lender discounter]]</calculatedColumnFormula>
    </tableColumn>
    <tableColumn id="46" xr3:uid="{2119E103-F4B8-D84E-BD27-E239D60456B0}" name="probablistic discounted unpaid premium" totalsRowFunction="sum" dataDxfId="143" totalsRowDxfId="98">
      <calculatedColumnFormula>Table1[[#This Row],[probablistic premium stream]]/Table1[[#This Row],[lender discounter]]</calculatedColumnFormula>
    </tableColumn>
    <tableColumn id="45" xr3:uid="{67F3CA66-30FA-DB45-B2BA-726E8326A7BB}" name="probablistic discounted repay" totalsRowFunction="sum" dataDxfId="142" totalsRowDxfId="97">
      <calculatedColumnFormula>Table1[[#This Row],[probablistic repay from borrower]]/Table1[[#This Row],[lender discounter]]</calculatedColumnFormula>
    </tableColumn>
    <tableColumn id="44" xr3:uid="{00790FD4-BA91-8A4A-91A5-2B29B69A6B3F}" name="lender discounted probablistic profit per period" totalsRowFunction="sum" dataDxfId="141" totalsRowDxfId="96">
      <calculatedColumnFormula>(Table1[[#This Row],[probablistic repay from borrower]]-Table1[[#This Row],[probablistic premium stream]])/Table1[[#This Row],[lender discounter]]</calculatedColumnFormula>
    </tableColumn>
    <tableColumn id="47" xr3:uid="{846F0154-C7C4-974C-900F-EF79FEB9EC27}" name="lender to pay cumulative future value" dataDxfId="140" totalsRowDxfId="95">
      <calculatedColumnFormula>AP16*(1+$B$2)+ Table1[[#This Row],[level premium marked up]]</calculatedColumnFormula>
    </tableColumn>
    <tableColumn id="48" xr3:uid="{588FAC39-D26A-BC44-8B1C-D572E1675417}" name="lender to pay cumulative probablistic undiscounted" totalsRowFunction="sum" dataDxfId="139" totalsRowDxfId="94">
      <calculatedColumnFormula>Table1[[#This Row],[lender to pay cumulative future value]]/Table1[[#This Row],[lender discounter]]</calculatedColumnFormula>
    </tableColumn>
    <tableColumn id="49" xr3:uid="{9C8EC885-D263-FE45-8083-2F736BF66657}" name="lender to receive probablistic undiscounted" totalsRowFunction="sum" dataDxfId="138" totalsRowDxfId="93">
      <calculatedColumnFormula>Table1[[#This Row],[cumulative debt until t]]*AB18/Table1[[#This Row],[lender discounter]]</calculatedColumnFormula>
    </tableColumn>
    <tableColumn id="52" xr3:uid="{12082B75-951E-724D-9E2F-2C1CB17E8141}" name="lender to pay cumulative probablistic discounted" totalsRowFunction="sum" dataDxfId="137" totalsRowDxfId="92">
      <calculatedColumnFormula>Table1[[#This Row],[lender to pay cumulative probablistic undiscounted]]/Table1[[#This Row],[lender discounter]]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379E63-025A-1143-BFD2-3BE8778C3E61}" name="Table13" displayName="Table13" ref="A16:AS198" totalsRowCount="1" headerRowDxfId="91" totalsRowDxfId="90">
  <autoFilter ref="A16:AS197" xr:uid="{569CBA8E-2CE4-154E-94ED-01B0B599834F}"/>
  <tableColumns count="45">
    <tableColumn id="1" xr3:uid="{9BAE68FC-666F-7443-BE65-1605818D144C}" name="age since issue" totalsRowLabel="Total" dataDxfId="89" totalsRowDxfId="44"/>
    <tableColumn id="19" xr3:uid="{3C4D97B1-26AA-2E43-BDFF-C2D9E53ABE00}" name="Lapse experience" dataDxfId="88" totalsRowDxfId="43" dataCellStyle="Comma"/>
    <tableColumn id="18" xr3:uid="{2FE536DB-A0BA-EF42-8D84-D82261694CCA}" name="No lapse" dataDxfId="87" totalsRowDxfId="42"/>
    <tableColumn id="9" xr3:uid="{339F18D4-CF49-B34A-A67A-EFBEE14BC6CB}" name="Lapse rate" dataDxfId="86" totalsRowDxfId="41" dataCellStyle="Input"/>
    <tableColumn id="2" xr3:uid="{91A03793-328E-C745-9FED-E7168A14BED3}" name="one-year conditional mortality AT ISSUE" dataDxfId="85" totalsRowDxfId="40" dataCellStyle="Input"/>
    <tableColumn id="3" xr3:uid="{CB710B9E-EDC7-2344-A900-235839A408AE}" name="one-year conditional survival AT ISSUE" dataDxfId="84" totalsRowDxfId="39" dataCellStyle="Calculation">
      <calculatedColumnFormula>1-Table13[[#This Row],[one-year conditional mortality AT ISSUE]]</calculatedColumnFormula>
    </tableColumn>
    <tableColumn id="4" xr3:uid="{A404ECF3-F862-3A43-8CB5-0515FE41DC15}" name="unconditional survival AT ISSUE" totalsRowFunction="sum" dataDxfId="83" totalsRowDxfId="38" dataCellStyle="Calculation">
      <calculatedColumnFormula>PRODUCT(F$17:F17)</calculatedColumnFormula>
    </tableColumn>
    <tableColumn id="11" xr3:uid="{5FAB6ACF-BFAE-3748-A7D7-17404B1BFDA4}" name="one-year conditional persistency AT ISSUE" dataDxfId="82" totalsRowDxfId="37" dataCellStyle="Calculation">
      <calculatedColumnFormula>Table13[[#This Row],[one-year conditional survival AT ISSUE]]*(1-Table13[[#This Row],[Lapse rate]])</calculatedColumnFormula>
    </tableColumn>
    <tableColumn id="12" xr3:uid="{7CA47351-C1AD-9648-8A16-D29E61FC5EB0}" name="unconditional persistency AT ISSUE" dataDxfId="81" totalsRowDxfId="36" dataCellStyle="Calculation">
      <calculatedColumnFormula>PRODUCT(H$17:H17)</calculatedColumnFormula>
    </tableColumn>
    <tableColumn id="30" xr3:uid="{EB481907-A3B9-F94D-8EDD-E3D8138AACAD}" name="Unconditional mortality AT ISSUE" totalsRowFunction="sum" dataDxfId="80" totalsRowDxfId="35" dataCellStyle="Calculation">
      <calculatedColumnFormula>G16*Table13[[#This Row],[one-year conditional mortality AT ISSUE]]</calculatedColumnFormula>
    </tableColumn>
    <tableColumn id="17" xr3:uid="{E6B12EEC-3E21-6B47-9ED9-E38132C3F72C}" name="Death benefit pay probability" totalsRowFunction="sum" dataDxfId="79" totalsRowDxfId="34" dataCellStyle="Calculation">
      <calculatedColumnFormula>I16*Table13[[#This Row],[one-year conditional mortality AT ISSUE]]</calculatedColumnFormula>
    </tableColumn>
    <tableColumn id="15" xr3:uid="{C271499D-3F75-704B-8055-E53C2F5CBBF5}" name="level premium unmarked-up" dataDxfId="78" totalsRowDxfId="33" dataCellStyle="Calculation">
      <calculatedColumnFormula>$B$1</calculatedColumnFormula>
    </tableColumn>
    <tableColumn id="16" xr3:uid="{73E6F4D2-9C0A-9643-9863-3B43909CD8A7}" name="variable premium unmarked up" dataDxfId="77" totalsRowDxfId="32">
      <calculatedColumnFormula>Table13[[#This Row],[Death benefit pay probability]]/Table13[[#This Row],[unconditional persistency AT ISSUE]]</calculatedColumnFormula>
    </tableColumn>
    <tableColumn id="38" xr3:uid="{A0838DC7-DE70-014A-9E94-DFF6831A0E96}" name="check" dataDxfId="76" totalsRowDxfId="31">
      <calculatedColumnFormula>Table13[[#This Row],[one-year conditional mortality AT ISSUE]]/Table13[[#This Row],[one-year conditional persistency AT ISSUE]]</calculatedColumnFormula>
    </tableColumn>
    <tableColumn id="21" xr3:uid="{B0A6BAA3-6B81-634F-808A-88ACC68A194F}" name="Issuer discounter at issue" dataDxfId="75" totalsRowDxfId="30" dataCellStyle="Comma">
      <calculatedColumnFormula>(1+$B$14)^(Table13[[#This Row],[age since issue]]-$A$17)</calculatedColumnFormula>
    </tableColumn>
    <tableColumn id="22" xr3:uid="{026C68D9-5BFF-A543-8E48-16178AC9D43B}" name="Issuer profit with unmarked-up level premium" dataDxfId="74" totalsRowDxfId="29" dataCellStyle="Comma">
      <calculatedColumnFormula>(Table13[[#This Row],[level premium unmarked-up]]*Table13[[#This Row],[unconditional persistency AT ISSUE]]-Table13[[#This Row],[Death benefit pay probability]])</calculatedColumnFormula>
    </tableColumn>
    <tableColumn id="23" xr3:uid="{32696C0B-2A1A-0B47-8C5B-AE72561AFA06}" name="Issuer profit discounted with breakeven premium" totalsRowFunction="sum" dataDxfId="73" totalsRowDxfId="28" dataCellStyle="Comma">
      <calculatedColumnFormula>Table13[[#This Row],[Issuer profit with unmarked-up level premium]]/Table13[[#This Row],[Issuer discounter at issue]]</calculatedColumnFormula>
    </tableColumn>
    <tableColumn id="24" xr3:uid="{ED72DFFC-C648-8D4B-981A-D188EDC7A4B5}" name="Issuer profit with variable premium" dataDxfId="72" totalsRowDxfId="27" dataCellStyle="Comma">
      <calculatedColumnFormula>(Table13[[#This Row],[variable premium unmarked up]]*Table13[[#This Row],[unconditional persistency AT ISSUE]]-Table13[[#This Row],[Death benefit pay probability]])</calculatedColumnFormula>
    </tableColumn>
    <tableColumn id="27" xr3:uid="{9F5BA09C-DB7F-754E-AC1E-3693D90516D7}" name="level premium marked up" dataDxfId="71" totalsRowDxfId="26" dataCellStyle="Comma">
      <calculatedColumnFormula>Table13[[#This Row],[level premium unmarked-up]]*(1+$B$15)</calculatedColumnFormula>
    </tableColumn>
    <tableColumn id="37" xr3:uid="{CC538135-AC9A-9D4A-A526-15462ADA52E8}" name="variable premium marked up" dataDxfId="70" totalsRowDxfId="25" dataCellStyle="Comma">
      <calculatedColumnFormula>MIN(Table13[[#This Row],[variable premium unmarked up]]*(1+$B$15),1)</calculatedColumnFormula>
    </tableColumn>
    <tableColumn id="36" xr3:uid="{ACB2B2F6-7D37-6742-88DF-CDA0D995DA78}" name="additional cash" dataDxfId="69" totalsRowDxfId="24" dataCellStyle="Comma">
      <calculatedColumnFormula>Table13[[#This Row],[level premium marked up]]-Table13[[#This Row],[variable premium marked up]]</calculatedColumnFormula>
    </tableColumn>
    <tableColumn id="35" xr3:uid="{B2A69E3C-B337-2E45-847D-EB95ED00BAFB}" name="surrender value" dataDxfId="68" totalsRowDxfId="23" dataCellStyle="Comma"/>
    <tableColumn id="5" xr3:uid="{A9FEE3B9-51A8-FA43-BA32-599E74E08A46}" name="one-year conditional mortality NOW" dataDxfId="67" totalsRowDxfId="22" dataCellStyle="Input"/>
    <tableColumn id="6" xr3:uid="{62241D97-30A8-854A-A0A4-BA309AB832FF}" name="one-year conditional survival NOW" dataDxfId="66" totalsRowDxfId="21" dataCellStyle="Calculation">
      <calculatedColumnFormula>1-Table13[[#This Row],[one-year conditional mortality NOW]]</calculatedColumnFormula>
    </tableColumn>
    <tableColumn id="7" xr3:uid="{03B697B3-666E-A74A-A9FC-92A5C9892601}" name="unconditional survival NOW" totalsRowFunction="sum" dataDxfId="65" totalsRowDxfId="20" dataCellStyle="Calculation">
      <calculatedColumnFormula>PRODUCT(X$17:X17)</calculatedColumnFormula>
    </tableColumn>
    <tableColumn id="14" xr3:uid="{BA0F0443-E778-6C40-B639-E2D117BB831A}" name="one-year conditional persistency NOW" dataDxfId="64" totalsRowDxfId="19" dataCellStyle="Calculation">
      <calculatedColumnFormula>Table13[[#This Row],[one-year conditional survival NOW]]*(1-Table13[[#This Row],[Lapse rate]])</calculatedColumnFormula>
    </tableColumn>
    <tableColumn id="13" xr3:uid="{E7C504A4-7970-5445-842E-5979FE88CE84}" name="unconditional persistency NOW" dataDxfId="63" totalsRowDxfId="18" dataCellStyle="Calculation">
      <calculatedColumnFormula>PRODUCT(Z$17:Z17)</calculatedColumnFormula>
    </tableColumn>
    <tableColumn id="32" xr3:uid="{65208C38-6080-E044-903E-D05AF53556BA}" name="Unconditional mortality NOW" totalsRowFunction="sum" dataDxfId="62" totalsRowDxfId="17" dataCellStyle="Calculation">
      <calculatedColumnFormula>Y16*Table13[[#This Row],[one-year conditional mortality NOW]]</calculatedColumnFormula>
    </tableColumn>
    <tableColumn id="8" xr3:uid="{8088F0DE-726A-124C-85CD-D4475D65471A}" name="Yield curve now" dataDxfId="61" totalsRowDxfId="16" dataCellStyle="Input"/>
    <tableColumn id="25" xr3:uid="{6D17C8CD-5C77-1944-9B04-9E77A9756E30}" name="discouter with yield curve" dataDxfId="60" totalsRowDxfId="15">
      <calculatedColumnFormula>(1+Table13[[#This Row],[Yield curve now]])^(Table13[[#This Row],[age since issue]]-$A$23)</calculatedColumnFormula>
    </tableColumn>
    <tableColumn id="26" xr3:uid="{B26E0E5D-E9A6-844A-9A3C-7EA132685919}" name="cumulative debt until t" dataDxfId="59" totalsRowDxfId="14">
      <calculatedColumnFormula>AE16*(1+$B$2)+ Table13[[#This Row],[level premium marked up]]</calculatedColumnFormula>
    </tableColumn>
    <tableColumn id="28" xr3:uid="{C87B02DC-B737-B844-A6A3-A40CA5045088}" name="user profit (death benefit - debt)" dataDxfId="58" totalsRowDxfId="13">
      <calculatedColumnFormula>1-Table13[[#This Row],[cumulative debt until t]]</calculatedColumnFormula>
    </tableColumn>
    <tableColumn id="29" xr3:uid="{BA510E46-34D6-014A-85AB-16576DA0CE54}" name="user discounted probablistic loan" totalsRowFunction="sum" dataDxfId="57" totalsRowDxfId="12">
      <calculatedColumnFormula>Table13[[#This Row],[user profit (death benefit - debt)]]*Table13[[#This Row],[Unconditional mortality NOW]]/Table13[[#This Row],[discouter with yield curve]]</calculatedColumnFormula>
    </tableColumn>
    <tableColumn id="33" xr3:uid="{DDC29F52-AB88-5344-9F4B-7A16103BF890}" name="user discounted probablistic death benefit" totalsRowFunction="sum" dataDxfId="56" totalsRowDxfId="11">
      <calculatedColumnFormula>Table13[[#This Row],[Unconditional mortality NOW]]/Table13[[#This Row],[discouter with yield curve]]</calculatedColumnFormula>
    </tableColumn>
    <tableColumn id="40" xr3:uid="{16267C37-E931-2A46-95FE-190C16B2B176}" name="user discounted probablistic profit" totalsRowFunction="sum" dataDxfId="55" totalsRowDxfId="10">
      <calculatedColumnFormula>Table13[[#This Row],[user profit (death benefit - debt)]]*Table13[[#This Row],[Unconditional mortality NOW]]/Table13[[#This Row],[discouter with yield curve]]</calculatedColumnFormula>
    </tableColumn>
    <tableColumn id="42" xr3:uid="{6ACA1CAA-900B-EC45-8130-4DB0C2A372DE}" name="lender discounter" dataDxfId="54" totalsRowDxfId="9">
      <calculatedColumnFormula>(1+$D$4)^(Table13[[#This Row],[age since issue]]-$A$23)</calculatedColumnFormula>
    </tableColumn>
    <tableColumn id="41" xr3:uid="{447BAF08-9427-F84C-8DD6-602001B06799}" name="probablistic premium stream" totalsRowFunction="sum" dataDxfId="53" totalsRowDxfId="8">
      <calculatedColumnFormula>Table13[[#This Row],[level premium marked up]]*Table13[[#This Row],[unconditional survival NOW]]</calculatedColumnFormula>
    </tableColumn>
    <tableColumn id="43" xr3:uid="{537EEC17-4C2E-A443-AF00-E5402C6D0BD8}" name="probablistic repay from borrower" totalsRowFunction="sum" dataDxfId="52" totalsRowDxfId="7">
      <calculatedColumnFormula>Table13[[#This Row],[probablistic premium stream]]/Table13[[#This Row],[lender discounter]]</calculatedColumnFormula>
    </tableColumn>
    <tableColumn id="46" xr3:uid="{8EED1370-D2A0-2845-99CB-813D79C01FAD}" name="probablistic discounted unpaid premium" totalsRowFunction="sum" dataDxfId="51" totalsRowDxfId="6">
      <calculatedColumnFormula>Table13[[#This Row],[probablistic premium stream]]/Table13[[#This Row],[lender discounter]]</calculatedColumnFormula>
    </tableColumn>
    <tableColumn id="45" xr3:uid="{484D5AA6-1442-2D41-8B40-7C71C7A8B28E}" name="probablistic discounted repay" totalsRowFunction="sum" dataDxfId="50" totalsRowDxfId="5">
      <calculatedColumnFormula>Table13[[#This Row],[probablistic repay from borrower]]/Table13[[#This Row],[lender discounter]]</calculatedColumnFormula>
    </tableColumn>
    <tableColumn id="44" xr3:uid="{DA47A8D6-2105-FD4B-B73F-A68FEF51895C}" name="lender discounted probablistic profit per period" totalsRowFunction="sum" dataDxfId="49" totalsRowDxfId="4">
      <calculatedColumnFormula>(Table13[[#This Row],[probablistic repay from borrower]]-Table13[[#This Row],[probablistic premium stream]])/Table13[[#This Row],[lender discounter]]</calculatedColumnFormula>
    </tableColumn>
    <tableColumn id="47" xr3:uid="{4DB129A8-DD62-9E41-9CA9-99C091963BFF}" name="lender to pay cumulative future value" dataDxfId="48" totalsRowDxfId="3">
      <calculatedColumnFormula>AP16*(1+$B$2)+ Table13[[#This Row],[level premium marked up]]</calculatedColumnFormula>
    </tableColumn>
    <tableColumn id="48" xr3:uid="{F1006EEB-5C17-8347-8C42-501E8D9273CD}" name="lender to pay cumulative probablistic undiscounted" totalsRowFunction="sum" dataDxfId="47" totalsRowDxfId="2">
      <calculatedColumnFormula>Table13[[#This Row],[lender to pay cumulative future value]]/Table13[[#This Row],[lender discounter]]</calculatedColumnFormula>
    </tableColumn>
    <tableColumn id="49" xr3:uid="{CE2D2A97-952F-194F-BDB2-583809B2C3E8}" name="lender to receive probablistic undiscounted" totalsRowFunction="sum" dataDxfId="46" totalsRowDxfId="1">
      <calculatedColumnFormula>Table13[[#This Row],[cumulative debt until t]]*AB18/Table13[[#This Row],[lender discounter]]</calculatedColumnFormula>
    </tableColumn>
    <tableColumn id="52" xr3:uid="{8EEFD7FC-69DA-1A4B-BD7B-CDB743626A62}" name="lender to pay cumulative probablistic discounted" totalsRowFunction="sum" dataDxfId="45" totalsRowDxfId="0">
      <calculatedColumnFormula>Table13[[#This Row],[lender to pay cumulative probablistic undiscounted]]/Table13[[#This Row],[lender discounter]]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5E8D-FD72-5148-9ED0-FC4063FFC228}">
  <dimension ref="A1:AS202"/>
  <sheetViews>
    <sheetView zoomScale="65" zoomScaleNormal="86" workbookViewId="0">
      <pane xSplit="4" ySplit="16" topLeftCell="M17" activePane="bottomRight" state="frozen"/>
      <selection pane="topRight" activeCell="E1" sqref="E1"/>
      <selection pane="bottomLeft" activeCell="A21" sqref="A21"/>
      <selection pane="bottomRight" activeCell="Z24" sqref="Z24"/>
    </sheetView>
  </sheetViews>
  <sheetFormatPr baseColWidth="10" defaultRowHeight="16"/>
  <cols>
    <col min="1" max="1" width="19.1640625" style="22" bestFit="1" customWidth="1"/>
    <col min="2" max="2" width="11.1640625" style="18" bestFit="1" customWidth="1"/>
    <col min="3" max="3" width="14.1640625" style="19" bestFit="1" customWidth="1"/>
    <col min="4" max="4" width="12.33203125" style="20" customWidth="1"/>
    <col min="5" max="8" width="15" style="20" customWidth="1"/>
    <col min="9" max="9" width="11" style="19" bestFit="1" customWidth="1"/>
    <col min="10" max="10" width="11" style="19" customWidth="1"/>
    <col min="11" max="11" width="13.1640625" style="19" bestFit="1" customWidth="1"/>
    <col min="12" max="12" width="11" style="20" bestFit="1" customWidth="1"/>
    <col min="13" max="13" width="23.83203125" style="20" customWidth="1"/>
    <col min="14" max="14" width="27" style="20" customWidth="1"/>
    <col min="15" max="15" width="11" style="20" bestFit="1" customWidth="1"/>
    <col min="16" max="17" width="13.6640625" style="20" bestFit="1" customWidth="1"/>
    <col min="18" max="22" width="13.6640625" style="20" customWidth="1"/>
    <col min="23" max="24" width="11" style="20" bestFit="1" customWidth="1"/>
    <col min="25" max="25" width="11" style="21" bestFit="1" customWidth="1"/>
    <col min="26" max="27" width="11" style="22" bestFit="1" customWidth="1"/>
    <col min="28" max="28" width="18.83203125" style="22" customWidth="1"/>
    <col min="29" max="29" width="11" style="22" bestFit="1" customWidth="1"/>
    <col min="30" max="30" width="10.83203125" style="22"/>
    <col min="31" max="31" width="14.83203125" style="22" customWidth="1"/>
    <col min="32" max="32" width="16" style="22" customWidth="1"/>
    <col min="33" max="33" width="13.1640625" style="22" bestFit="1" customWidth="1"/>
    <col min="34" max="34" width="12" style="22" bestFit="1" customWidth="1"/>
    <col min="35" max="35" width="13.1640625" style="22" bestFit="1" customWidth="1"/>
    <col min="36" max="36" width="19.83203125" style="22" bestFit="1" customWidth="1"/>
    <col min="37" max="37" width="10.83203125" style="22"/>
    <col min="38" max="38" width="18.1640625" style="22" customWidth="1"/>
    <col min="39" max="39" width="13.5" style="22" customWidth="1"/>
    <col min="40" max="40" width="14" style="22" bestFit="1" customWidth="1"/>
    <col min="41" max="41" width="17" style="22" bestFit="1" customWidth="1"/>
    <col min="42" max="42" width="15.5" style="22" bestFit="1" customWidth="1"/>
    <col min="43" max="43" width="20.1640625" style="22" customWidth="1"/>
    <col min="44" max="44" width="14.5" style="22" bestFit="1" customWidth="1"/>
    <col min="45" max="45" width="14" style="22" bestFit="1" customWidth="1"/>
    <col min="46" max="16384" width="10.83203125" style="22"/>
  </cols>
  <sheetData>
    <row r="1" spans="1:45" ht="17">
      <c r="A1" s="17" t="s">
        <v>30</v>
      </c>
      <c r="B1" s="26">
        <v>1.9910109748700498E-3</v>
      </c>
      <c r="C1" s="19" t="s">
        <v>31</v>
      </c>
    </row>
    <row r="2" spans="1:45">
      <c r="A2" s="7" t="s">
        <v>42</v>
      </c>
      <c r="B2" s="2">
        <v>5.8877131694788698E-2</v>
      </c>
      <c r="C2" s="19" t="s">
        <v>50</v>
      </c>
      <c r="D2" s="20">
        <v>1E-3</v>
      </c>
    </row>
    <row r="3" spans="1:45">
      <c r="A3" s="7"/>
      <c r="B3" s="2"/>
      <c r="C3" s="19" t="s">
        <v>49</v>
      </c>
    </row>
    <row r="4" spans="1:45">
      <c r="A4" s="7" t="s">
        <v>4</v>
      </c>
      <c r="B4" s="2" t="s">
        <v>5</v>
      </c>
      <c r="C4" s="19" t="s">
        <v>59</v>
      </c>
      <c r="D4" s="2">
        <v>0.15</v>
      </c>
    </row>
    <row r="5" spans="1:45">
      <c r="A5" s="7" t="s">
        <v>6</v>
      </c>
      <c r="B5" s="2" t="s">
        <v>15</v>
      </c>
    </row>
    <row r="6" spans="1:45">
      <c r="A6" s="7" t="s">
        <v>7</v>
      </c>
      <c r="B6" s="2">
        <v>2800285210.75666</v>
      </c>
    </row>
    <row r="7" spans="1:45">
      <c r="A7" s="7" t="s">
        <v>8</v>
      </c>
      <c r="B7" s="2">
        <v>22828.236196000002</v>
      </c>
    </row>
    <row r="8" spans="1:45">
      <c r="A8" s="7" t="s">
        <v>9</v>
      </c>
      <c r="B8" s="2">
        <v>1856207</v>
      </c>
    </row>
    <row r="9" spans="1:45">
      <c r="A9" s="7" t="s">
        <v>10</v>
      </c>
      <c r="B9" s="2">
        <v>17</v>
      </c>
    </row>
    <row r="10" spans="1:45">
      <c r="A10" s="7" t="s">
        <v>11</v>
      </c>
      <c r="B10" s="2">
        <v>21</v>
      </c>
    </row>
    <row r="11" spans="1:45">
      <c r="A11" s="7" t="s">
        <v>12</v>
      </c>
      <c r="B11" s="2">
        <v>27</v>
      </c>
    </row>
    <row r="12" spans="1:45">
      <c r="A12" s="7" t="s">
        <v>13</v>
      </c>
      <c r="B12" s="2" t="b">
        <v>1</v>
      </c>
    </row>
    <row r="13" spans="1:45">
      <c r="A13" s="7" t="s">
        <v>14</v>
      </c>
      <c r="B13" s="2" t="b">
        <v>0</v>
      </c>
    </row>
    <row r="14" spans="1:45">
      <c r="A14" s="3" t="s">
        <v>23</v>
      </c>
      <c r="B14" s="2">
        <v>3.5000000000000003E-2</v>
      </c>
    </row>
    <row r="15" spans="1:45">
      <c r="A15" s="3" t="s">
        <v>24</v>
      </c>
      <c r="B15" s="2">
        <v>0</v>
      </c>
    </row>
    <row r="16" spans="1:45" s="9" customFormat="1" ht="85">
      <c r="A16" s="9" t="s">
        <v>16</v>
      </c>
      <c r="B16" s="9" t="s">
        <v>32</v>
      </c>
      <c r="C16" s="9" t="s">
        <v>33</v>
      </c>
      <c r="D16" s="15" t="s">
        <v>25</v>
      </c>
      <c r="E16" s="23" t="s">
        <v>18</v>
      </c>
      <c r="F16" s="24" t="s">
        <v>19</v>
      </c>
      <c r="G16" s="24" t="s">
        <v>20</v>
      </c>
      <c r="H16" s="24" t="s">
        <v>26</v>
      </c>
      <c r="I16" s="24" t="s">
        <v>27</v>
      </c>
      <c r="J16" s="27" t="s">
        <v>54</v>
      </c>
      <c r="K16" s="27" t="s">
        <v>34</v>
      </c>
      <c r="L16" s="9" t="s">
        <v>39</v>
      </c>
      <c r="M16" s="9" t="s">
        <v>52</v>
      </c>
      <c r="N16" s="9" t="s">
        <v>55</v>
      </c>
      <c r="O16" s="9" t="s">
        <v>35</v>
      </c>
      <c r="P16" s="9" t="s">
        <v>40</v>
      </c>
      <c r="Q16" s="9" t="s">
        <v>37</v>
      </c>
      <c r="R16" s="9" t="s">
        <v>36</v>
      </c>
      <c r="S16" s="9" t="s">
        <v>43</v>
      </c>
      <c r="T16" s="9" t="s">
        <v>53</v>
      </c>
      <c r="U16" s="9" t="s">
        <v>51</v>
      </c>
      <c r="V16" s="9" t="s">
        <v>49</v>
      </c>
      <c r="W16" s="23" t="s">
        <v>17</v>
      </c>
      <c r="X16" s="24" t="s">
        <v>41</v>
      </c>
      <c r="Y16" s="24" t="s">
        <v>21</v>
      </c>
      <c r="Z16" s="24" t="s">
        <v>28</v>
      </c>
      <c r="AA16" s="24" t="s">
        <v>29</v>
      </c>
      <c r="AB16" s="27" t="s">
        <v>45</v>
      </c>
      <c r="AC16" s="25" t="s">
        <v>22</v>
      </c>
      <c r="AD16" s="9" t="s">
        <v>44</v>
      </c>
      <c r="AE16" s="9" t="s">
        <v>56</v>
      </c>
      <c r="AF16" s="9" t="s">
        <v>47</v>
      </c>
      <c r="AG16" s="9" t="s">
        <v>57</v>
      </c>
      <c r="AH16" s="9" t="s">
        <v>46</v>
      </c>
      <c r="AI16" s="52" t="s">
        <v>48</v>
      </c>
      <c r="AJ16" s="52" t="s">
        <v>58</v>
      </c>
      <c r="AK16" s="9" t="s">
        <v>67</v>
      </c>
      <c r="AL16" s="9" t="s">
        <v>68</v>
      </c>
      <c r="AM16" s="9" t="s">
        <v>61</v>
      </c>
      <c r="AN16" s="9" t="s">
        <v>62</v>
      </c>
      <c r="AO16" s="9" t="s">
        <v>60</v>
      </c>
      <c r="AP16" s="9" t="s">
        <v>63</v>
      </c>
      <c r="AQ16" s="9" t="s">
        <v>64</v>
      </c>
      <c r="AR16" s="9" t="s">
        <v>66</v>
      </c>
      <c r="AS16" s="9" t="s">
        <v>65</v>
      </c>
    </row>
    <row r="17" spans="1:45" s="3" customFormat="1">
      <c r="A17" s="3">
        <v>21</v>
      </c>
      <c r="B17" s="8">
        <v>0</v>
      </c>
      <c r="C17" s="3">
        <v>0</v>
      </c>
      <c r="D17" s="8">
        <v>0</v>
      </c>
      <c r="E17" s="12">
        <v>0</v>
      </c>
      <c r="F17" s="13">
        <f>1-Table1[[#This Row],[one-year conditional mortality AT ISSUE]]</f>
        <v>1</v>
      </c>
      <c r="G17" s="13">
        <f>PRODUCT(F$17:F17)</f>
        <v>1</v>
      </c>
      <c r="H17" s="13">
        <f>Table1[[#This Row],[one-year conditional survival AT ISSUE]]*(1-Table1[[#This Row],[Lapse rate]])</f>
        <v>1</v>
      </c>
      <c r="I17" s="13">
        <f>PRODUCT(H$17:H17)</f>
        <v>1</v>
      </c>
      <c r="J17" s="13">
        <v>0</v>
      </c>
      <c r="K17" s="10">
        <v>0</v>
      </c>
      <c r="L17" s="3">
        <f t="shared" ref="L17:L48" si="0">$B$1</f>
        <v>1.9910109748700498E-3</v>
      </c>
      <c r="M17" s="44">
        <f>Table1[[#This Row],[Death benefit pay probability]]/Table1[[#This Row],[unconditional persistency AT ISSUE]]</f>
        <v>0</v>
      </c>
      <c r="N17" s="44">
        <f>Table1[[#This Row],[one-year conditional mortality AT ISSUE]]/Table1[[#This Row],[one-year conditional persistency AT ISSUE]]</f>
        <v>0</v>
      </c>
      <c r="O17" s="4">
        <f>(1+$B$14)^(Table1[[#This Row],[age since issue]]-$A$17)</f>
        <v>1</v>
      </c>
      <c r="P17" s="5">
        <f>(Table1[[#This Row],[level premium unmarked-up]]*Table1[[#This Row],[unconditional persistency AT ISSUE]]-Table1[[#This Row],[Death benefit pay probability]])</f>
        <v>1.9910109748700498E-3</v>
      </c>
      <c r="Q17" s="4">
        <f>Table1[[#This Row],[Issuer profit with unmarked-up level premium]]/Table1[[#This Row],[Issuer discounter at issue]]</f>
        <v>1.9910109748700498E-3</v>
      </c>
      <c r="R17" s="4">
        <f>(Table1[[#This Row],[variable premium unmarked up]]*Table1[[#This Row],[unconditional persistency AT ISSUE]]-Table1[[#This Row],[Death benefit pay probability]])</f>
        <v>0</v>
      </c>
      <c r="S17" s="6">
        <f>Table1[[#This Row],[level premium unmarked-up]]*(1+$B$15)</f>
        <v>1.9910109748700498E-3</v>
      </c>
      <c r="T17" s="6">
        <f>MIN(Table1[[#This Row],[variable premium unmarked up]]*(1+$B$15),1)</f>
        <v>0</v>
      </c>
      <c r="U17" s="6">
        <f>Table1[[#This Row],[level premium marked up]]-Table1[[#This Row],[variable premium marked up]]</f>
        <v>1.9910109748700498E-3</v>
      </c>
      <c r="V17" s="6">
        <f>Table1[[#This Row],[additional cash]]</f>
        <v>1.9910109748700498E-3</v>
      </c>
      <c r="W17" s="12"/>
      <c r="X17" s="13"/>
      <c r="Y17" s="49"/>
      <c r="Z17" s="13"/>
      <c r="AA17" s="13"/>
      <c r="AB17" s="50"/>
      <c r="AC17" s="12"/>
      <c r="AD17" s="28"/>
      <c r="AE17" s="46"/>
      <c r="AF17" s="42"/>
      <c r="AG17" s="42"/>
      <c r="AH17" s="48"/>
      <c r="AI17" s="29"/>
      <c r="AJ17" s="29"/>
      <c r="AK17" s="57">
        <f>Table1[[#This Row],[level premium marked up]]*Table1[[#This Row],[unconditional survival NOW]]</f>
        <v>0</v>
      </c>
      <c r="AL17" s="62"/>
      <c r="AM17" s="47"/>
      <c r="AN17" s="58"/>
      <c r="AO17" s="47"/>
      <c r="AP17" s="47"/>
      <c r="AQ17" s="58"/>
      <c r="AR17" s="60"/>
      <c r="AS17" s="58"/>
    </row>
    <row r="18" spans="1:45" s="3" customFormat="1">
      <c r="A18" s="3">
        <v>22</v>
      </c>
      <c r="B18" s="8">
        <v>6.6000000000000003E-2</v>
      </c>
      <c r="C18" s="3">
        <v>0</v>
      </c>
      <c r="D18" s="8">
        <v>6.6000000000000003E-2</v>
      </c>
      <c r="E18" s="12">
        <v>5.9999999999999995E-4</v>
      </c>
      <c r="F18" s="13">
        <f>1-Table1[[#This Row],[one-year conditional mortality AT ISSUE]]</f>
        <v>0.99939999999999996</v>
      </c>
      <c r="G18" s="13">
        <f>PRODUCT(F$17:F18)</f>
        <v>0.99939999999999996</v>
      </c>
      <c r="H18" s="13">
        <f>Table1[[#This Row],[one-year conditional survival AT ISSUE]]*(1-Table1[[#This Row],[Lapse rate]])</f>
        <v>0.93343959999999992</v>
      </c>
      <c r="I18" s="13">
        <f>PRODUCT(H$17:H18)</f>
        <v>0.93343959999999992</v>
      </c>
      <c r="J18" s="13">
        <f>G17*Table1[[#This Row],[one-year conditional mortality AT ISSUE]]</f>
        <v>5.9999999999999995E-4</v>
      </c>
      <c r="K18" s="10">
        <f>I17*Table1[[#This Row],[one-year conditional mortality AT ISSUE]]</f>
        <v>5.9999999999999995E-4</v>
      </c>
      <c r="L18" s="3">
        <f t="shared" si="0"/>
        <v>1.9910109748700498E-3</v>
      </c>
      <c r="M18" s="44">
        <f>Table1[[#This Row],[Death benefit pay probability]]/Table1[[#This Row],[unconditional persistency AT ISSUE]]</f>
        <v>6.4278395731228886E-4</v>
      </c>
      <c r="N18" s="44">
        <f>Table1[[#This Row],[one-year conditional mortality AT ISSUE]]/Table1[[#This Row],[one-year conditional persistency AT ISSUE]]</f>
        <v>6.4278395731228886E-4</v>
      </c>
      <c r="O18" s="4">
        <f>(1+$B$14)^(Table1[[#This Row],[age since issue]]-$A$17)</f>
        <v>1.0349999999999999</v>
      </c>
      <c r="P18" s="5">
        <f>(Table1[[#This Row],[level premium unmarked-up]]*Table1[[#This Row],[unconditional persistency AT ISSUE]]-Table1[[#This Row],[Death benefit pay probability]])</f>
        <v>1.2584884879783091E-3</v>
      </c>
      <c r="Q18" s="4">
        <f>Table1[[#This Row],[Issuer profit with unmarked-up level premium]]/Table1[[#This Row],[Issuer discounter at issue]]</f>
        <v>1.2159309062592359E-3</v>
      </c>
      <c r="R18" s="4">
        <f>(Table1[[#This Row],[variable premium unmarked up]]*Table1[[#This Row],[unconditional persistency AT ISSUE]]-Table1[[#This Row],[Death benefit pay probability]])</f>
        <v>0</v>
      </c>
      <c r="S18" s="6">
        <f>Table1[[#This Row],[level premium unmarked-up]]*(1+$B$15)</f>
        <v>1.9910109748700498E-3</v>
      </c>
      <c r="T18" s="6">
        <f>MIN(Table1[[#This Row],[variable premium unmarked up]]*(1+$B$15),1)</f>
        <v>6.4278395731228886E-4</v>
      </c>
      <c r="U18" s="6">
        <f>Table1[[#This Row],[level premium marked up]]-Table1[[#This Row],[variable premium marked up]]</f>
        <v>1.3482270175577608E-3</v>
      </c>
      <c r="V18" s="6">
        <f>Table1[[#This Row],[additional cash]]+V17*(1+$D$2)</f>
        <v>3.3412290034026803E-3</v>
      </c>
      <c r="W18" s="12"/>
      <c r="X18" s="13"/>
      <c r="Y18" s="49"/>
      <c r="Z18" s="13"/>
      <c r="AA18" s="13"/>
      <c r="AB18" s="50"/>
      <c r="AC18" s="12"/>
      <c r="AD18" s="28"/>
      <c r="AE18" s="46"/>
      <c r="AF18" s="42"/>
      <c r="AG18" s="42"/>
      <c r="AH18" s="48"/>
      <c r="AI18" s="29"/>
      <c r="AJ18" s="29"/>
      <c r="AK18" s="57">
        <f>Table1[[#This Row],[level premium marked up]]*Table1[[#This Row],[unconditional survival NOW]]</f>
        <v>0</v>
      </c>
      <c r="AL18" s="62"/>
      <c r="AM18" s="47"/>
      <c r="AN18" s="58"/>
      <c r="AO18" s="47"/>
      <c r="AP18" s="47"/>
      <c r="AQ18" s="58"/>
      <c r="AR18" s="60"/>
      <c r="AS18" s="58"/>
    </row>
    <row r="19" spans="1:45" s="3" customFormat="1">
      <c r="A19" s="3">
        <v>23</v>
      </c>
      <c r="B19" s="8">
        <v>7.3999999999999996E-2</v>
      </c>
      <c r="C19" s="3">
        <v>0</v>
      </c>
      <c r="D19" s="8">
        <v>7.3999999999999996E-2</v>
      </c>
      <c r="E19" s="12">
        <v>5.9999999999999995E-4</v>
      </c>
      <c r="F19" s="13">
        <f>1-Table1[[#This Row],[one-year conditional mortality AT ISSUE]]</f>
        <v>0.99939999999999996</v>
      </c>
      <c r="G19" s="13">
        <f>PRODUCT(F$17:F19)</f>
        <v>0.99880035999999994</v>
      </c>
      <c r="H19" s="13">
        <f>Table1[[#This Row],[one-year conditional survival AT ISSUE]]*(1-Table1[[#This Row],[Lapse rate]])</f>
        <v>0.92544440000000006</v>
      </c>
      <c r="I19" s="13">
        <f>PRODUCT(H$17:H19)</f>
        <v>0.86384645055823994</v>
      </c>
      <c r="J19" s="13">
        <f>G18*Table1[[#This Row],[one-year conditional mortality AT ISSUE]]</f>
        <v>5.9963999999999992E-4</v>
      </c>
      <c r="K19" s="10">
        <f>I18*Table1[[#This Row],[one-year conditional mortality AT ISSUE]]</f>
        <v>5.6006375999999986E-4</v>
      </c>
      <c r="L19" s="3">
        <f t="shared" si="0"/>
        <v>1.9910109748700498E-3</v>
      </c>
      <c r="M19" s="44">
        <f>Table1[[#This Row],[Death benefit pay probability]]/Table1[[#This Row],[unconditional persistency AT ISSUE]]</f>
        <v>6.4833716644673619E-4</v>
      </c>
      <c r="N19" s="44">
        <f>Table1[[#This Row],[one-year conditional mortality AT ISSUE]]/Table1[[#This Row],[one-year conditional persistency AT ISSUE]]</f>
        <v>6.4833716644673619E-4</v>
      </c>
      <c r="O19" s="4">
        <f>(1+$B$14)^(Table1[[#This Row],[age since issue]]-$A$17)</f>
        <v>1.0712249999999999</v>
      </c>
      <c r="P19" s="5">
        <f>(Table1[[#This Row],[level premium unmarked-up]]*Table1[[#This Row],[unconditional persistency AT ISSUE]]-Table1[[#This Row],[Death benefit pay probability]])</f>
        <v>1.1598640036639936E-3</v>
      </c>
      <c r="Q19" s="4">
        <f>Table1[[#This Row],[Issuer profit with unmarked-up level premium]]/Table1[[#This Row],[Issuer discounter at issue]]</f>
        <v>1.082745458390155E-3</v>
      </c>
      <c r="R19" s="4">
        <f>(Table1[[#This Row],[variable premium unmarked up]]*Table1[[#This Row],[unconditional persistency AT ISSUE]]-Table1[[#This Row],[Death benefit pay probability]])</f>
        <v>0</v>
      </c>
      <c r="S19" s="6">
        <f>Table1[[#This Row],[level premium unmarked-up]]*(1+$B$15)</f>
        <v>1.9910109748700498E-3</v>
      </c>
      <c r="T19" s="6">
        <f>MIN(Table1[[#This Row],[variable premium unmarked up]]*(1+$B$15),1)</f>
        <v>6.4833716644673619E-4</v>
      </c>
      <c r="U19" s="6">
        <f>Table1[[#This Row],[level premium marked up]]-Table1[[#This Row],[variable premium marked up]]</f>
        <v>1.3426738084233135E-3</v>
      </c>
      <c r="V19" s="6">
        <f>Table1[[#This Row],[additional cash]]+V18*(1+$D$2)</f>
        <v>4.6872440408293956E-3</v>
      </c>
      <c r="W19" s="12"/>
      <c r="X19" s="13"/>
      <c r="Y19" s="49"/>
      <c r="Z19" s="13"/>
      <c r="AA19" s="13"/>
      <c r="AB19" s="50"/>
      <c r="AC19" s="12"/>
      <c r="AD19" s="28"/>
      <c r="AE19" s="46"/>
      <c r="AF19" s="42"/>
      <c r="AG19" s="42"/>
      <c r="AH19" s="48"/>
      <c r="AI19" s="29"/>
      <c r="AJ19" s="29"/>
      <c r="AK19" s="57">
        <f>Table1[[#This Row],[level premium marked up]]*Table1[[#This Row],[unconditional survival NOW]]</f>
        <v>0</v>
      </c>
      <c r="AL19" s="62"/>
      <c r="AM19" s="47"/>
      <c r="AN19" s="58"/>
      <c r="AO19" s="47"/>
      <c r="AP19" s="47"/>
      <c r="AQ19" s="58"/>
      <c r="AR19" s="60"/>
      <c r="AS19" s="58"/>
    </row>
    <row r="20" spans="1:45" s="3" customFormat="1">
      <c r="A20" s="3">
        <v>24</v>
      </c>
      <c r="B20" s="8">
        <v>6.6000000000000003E-2</v>
      </c>
      <c r="C20" s="3">
        <v>0</v>
      </c>
      <c r="D20" s="8">
        <v>6.6000000000000003E-2</v>
      </c>
      <c r="E20" s="12">
        <v>5.9999999999999995E-4</v>
      </c>
      <c r="F20" s="13">
        <f>1-Table1[[#This Row],[one-year conditional mortality AT ISSUE]]</f>
        <v>0.99939999999999996</v>
      </c>
      <c r="G20" s="13">
        <f>PRODUCT(F$17:F20)</f>
        <v>0.99820107978399986</v>
      </c>
      <c r="H20" s="13">
        <f>Table1[[#This Row],[one-year conditional survival AT ISSUE]]*(1-Table1[[#This Row],[Lapse rate]])</f>
        <v>0.93343959999999992</v>
      </c>
      <c r="I20" s="13">
        <f>PRODUCT(H$17:H20)</f>
        <v>0.80634848527050318</v>
      </c>
      <c r="J20" s="13">
        <f>G19*Table1[[#This Row],[one-year conditional mortality AT ISSUE]]</f>
        <v>5.9928021599999989E-4</v>
      </c>
      <c r="K20" s="10">
        <f>I19*Table1[[#This Row],[one-year conditional mortality AT ISSUE]]</f>
        <v>5.1830787033494395E-4</v>
      </c>
      <c r="L20" s="3">
        <f t="shared" si="0"/>
        <v>1.9910109748700498E-3</v>
      </c>
      <c r="M20" s="44">
        <f>Table1[[#This Row],[Death benefit pay probability]]/Table1[[#This Row],[unconditional persistency AT ISSUE]]</f>
        <v>6.4278395731228897E-4</v>
      </c>
      <c r="N20" s="44">
        <f>Table1[[#This Row],[one-year conditional mortality AT ISSUE]]/Table1[[#This Row],[one-year conditional persistency AT ISSUE]]</f>
        <v>6.4278395731228886E-4</v>
      </c>
      <c r="O20" s="4">
        <f>(1+$B$14)^(Table1[[#This Row],[age since issue]]-$A$17)</f>
        <v>1.1087178749999997</v>
      </c>
      <c r="P20" s="5">
        <f>(Table1[[#This Row],[level premium unmarked-up]]*Table1[[#This Row],[unconditional persistency AT ISSUE]]-Table1[[#This Row],[Death benefit pay probability]])</f>
        <v>1.0871408134084685E-3</v>
      </c>
      <c r="Q20" s="4">
        <f>Table1[[#This Row],[Issuer profit with unmarked-up level premium]]/Table1[[#This Row],[Issuer discounter at issue]]</f>
        <v>9.8053872668776875E-4</v>
      </c>
      <c r="R20" s="4">
        <f>(Table1[[#This Row],[variable premium unmarked up]]*Table1[[#This Row],[unconditional persistency AT ISSUE]]-Table1[[#This Row],[Death benefit pay probability]])</f>
        <v>0</v>
      </c>
      <c r="S20" s="6">
        <f>Table1[[#This Row],[level premium unmarked-up]]*(1+$B$15)</f>
        <v>1.9910109748700498E-3</v>
      </c>
      <c r="T20" s="6">
        <f>MIN(Table1[[#This Row],[variable premium unmarked up]]*(1+$B$15),1)</f>
        <v>6.4278395731228897E-4</v>
      </c>
      <c r="U20" s="6">
        <f>Table1[[#This Row],[level premium marked up]]-Table1[[#This Row],[variable premium marked up]]</f>
        <v>1.3482270175577608E-3</v>
      </c>
      <c r="V20" s="6">
        <f>Table1[[#This Row],[additional cash]]+V19*(1+$D$2)</f>
        <v>6.0401583024279858E-3</v>
      </c>
      <c r="W20" s="12"/>
      <c r="X20" s="13"/>
      <c r="Y20" s="49"/>
      <c r="Z20" s="13"/>
      <c r="AA20" s="13"/>
      <c r="AB20" s="50"/>
      <c r="AC20" s="12"/>
      <c r="AD20" s="28"/>
      <c r="AE20" s="46"/>
      <c r="AF20" s="42"/>
      <c r="AG20" s="42"/>
      <c r="AH20" s="48"/>
      <c r="AI20" s="29"/>
      <c r="AJ20" s="29"/>
      <c r="AK20" s="57">
        <f>Table1[[#This Row],[level premium marked up]]*Table1[[#This Row],[unconditional survival NOW]]</f>
        <v>0</v>
      </c>
      <c r="AL20" s="62"/>
      <c r="AM20" s="47"/>
      <c r="AN20" s="58"/>
      <c r="AO20" s="47"/>
      <c r="AP20" s="47"/>
      <c r="AQ20" s="58"/>
      <c r="AR20" s="60"/>
      <c r="AS20" s="58"/>
    </row>
    <row r="21" spans="1:45" s="3" customFormat="1">
      <c r="A21" s="3">
        <v>25</v>
      </c>
      <c r="B21" s="8">
        <v>0.06</v>
      </c>
      <c r="C21" s="3">
        <v>0</v>
      </c>
      <c r="D21" s="8">
        <v>0.06</v>
      </c>
      <c r="E21" s="12">
        <v>5.9999999999999995E-4</v>
      </c>
      <c r="F21" s="13">
        <f>1-Table1[[#This Row],[one-year conditional mortality AT ISSUE]]</f>
        <v>0.99939999999999996</v>
      </c>
      <c r="G21" s="13">
        <f>PRODUCT(F$17:F21)</f>
        <v>0.99760215913612937</v>
      </c>
      <c r="H21" s="13">
        <f>Table1[[#This Row],[one-year conditional survival AT ISSUE]]*(1-Table1[[#This Row],[Lapse rate]])</f>
        <v>0.93943599999999994</v>
      </c>
      <c r="I21" s="13">
        <f>PRODUCT(H$17:H21)</f>
        <v>0.75751279560858042</v>
      </c>
      <c r="J21" s="13">
        <f>G20*Table1[[#This Row],[one-year conditional mortality AT ISSUE]]</f>
        <v>5.9892064787039987E-4</v>
      </c>
      <c r="K21" s="10">
        <f>I20*Table1[[#This Row],[one-year conditional mortality AT ISSUE]]</f>
        <v>4.8380909116230186E-4</v>
      </c>
      <c r="L21" s="3">
        <f t="shared" si="0"/>
        <v>1.9910109748700498E-3</v>
      </c>
      <c r="M21" s="44">
        <f>Table1[[#This Row],[Death benefit pay probability]]/Table1[[#This Row],[unconditional persistency AT ISSUE]]</f>
        <v>6.3868108098901887E-4</v>
      </c>
      <c r="N21" s="44">
        <f>Table1[[#This Row],[one-year conditional mortality AT ISSUE]]/Table1[[#This Row],[one-year conditional persistency AT ISSUE]]</f>
        <v>6.3868108098901898E-4</v>
      </c>
      <c r="O21" s="4">
        <f>(1+$B$14)^(Table1[[#This Row],[age since issue]]-$A$17)</f>
        <v>1.1475230006249997</v>
      </c>
      <c r="P21" s="5">
        <f>(Table1[[#This Row],[level premium unmarked-up]]*Table1[[#This Row],[unconditional persistency AT ISSUE]]-Table1[[#This Row],[Death benefit pay probability]])</f>
        <v>1.0244071984988746E-3</v>
      </c>
      <c r="Q21" s="4">
        <f>Table1[[#This Row],[Issuer profit with unmarked-up level premium]]/Table1[[#This Row],[Issuer discounter at issue]]</f>
        <v>8.9271169113031294E-4</v>
      </c>
      <c r="R21" s="4">
        <f>(Table1[[#This Row],[variable premium unmarked up]]*Table1[[#This Row],[unconditional persistency AT ISSUE]]-Table1[[#This Row],[Death benefit pay probability]])</f>
        <v>0</v>
      </c>
      <c r="S21" s="6">
        <f>Table1[[#This Row],[level premium unmarked-up]]*(1+$B$15)</f>
        <v>1.9910109748700498E-3</v>
      </c>
      <c r="T21" s="6">
        <f>MIN(Table1[[#This Row],[variable premium unmarked up]]*(1+$B$15),1)</f>
        <v>6.3868108098901887E-4</v>
      </c>
      <c r="U21" s="6">
        <f>Table1[[#This Row],[level premium marked up]]-Table1[[#This Row],[variable premium marked up]]</f>
        <v>1.352329893881031E-3</v>
      </c>
      <c r="V21" s="6">
        <f>Table1[[#This Row],[additional cash]]+V20*(1+$D$2)</f>
        <v>7.3985283546114441E-3</v>
      </c>
      <c r="W21" s="12"/>
      <c r="X21" s="13"/>
      <c r="Y21" s="49"/>
      <c r="Z21" s="13"/>
      <c r="AA21" s="13"/>
      <c r="AB21" s="50"/>
      <c r="AC21" s="12"/>
      <c r="AD21" s="28"/>
      <c r="AE21" s="46"/>
      <c r="AF21" s="42"/>
      <c r="AG21" s="42"/>
      <c r="AH21" s="48"/>
      <c r="AI21" s="29"/>
      <c r="AJ21" s="29"/>
      <c r="AK21" s="57">
        <f>Table1[[#This Row],[level premium marked up]]*Table1[[#This Row],[unconditional survival NOW]]</f>
        <v>0</v>
      </c>
      <c r="AL21" s="62"/>
      <c r="AM21" s="47"/>
      <c r="AN21" s="58"/>
      <c r="AO21" s="47"/>
      <c r="AP21" s="47"/>
      <c r="AQ21" s="58"/>
      <c r="AR21" s="60"/>
      <c r="AS21" s="58"/>
    </row>
    <row r="22" spans="1:45" s="3" customFormat="1">
      <c r="A22" s="3">
        <v>26</v>
      </c>
      <c r="B22" s="8">
        <v>5.2999999999999999E-2</v>
      </c>
      <c r="C22" s="3">
        <v>0</v>
      </c>
      <c r="D22" s="8">
        <v>5.2999999999999999E-2</v>
      </c>
      <c r="E22" s="12">
        <v>6.0999999999999997E-4</v>
      </c>
      <c r="F22" s="13">
        <f>1-Table1[[#This Row],[one-year conditional mortality AT ISSUE]]</f>
        <v>0.99939</v>
      </c>
      <c r="G22" s="13">
        <f>PRODUCT(F$17:F22)</f>
        <v>0.99699362181905637</v>
      </c>
      <c r="H22" s="13">
        <f>Table1[[#This Row],[one-year conditional survival AT ISSUE]]*(1-Table1[[#This Row],[Lapse rate]])</f>
        <v>0.94642232999999998</v>
      </c>
      <c r="I22" s="13">
        <f>PRODUCT(H$17:H22)</f>
        <v>0.71692702502468642</v>
      </c>
      <c r="J22" s="13">
        <f>G21*Table1[[#This Row],[one-year conditional mortality AT ISSUE]]</f>
        <v>6.0853731707303886E-4</v>
      </c>
      <c r="K22" s="10">
        <f>I21*Table1[[#This Row],[one-year conditional mortality AT ISSUE]]</f>
        <v>4.6208280532123401E-4</v>
      </c>
      <c r="L22" s="3">
        <f t="shared" si="0"/>
        <v>1.9910109748700498E-3</v>
      </c>
      <c r="M22" s="44">
        <f>Table1[[#This Row],[Death benefit pay probability]]/Table1[[#This Row],[unconditional persistency AT ISSUE]]</f>
        <v>6.4453255239656064E-4</v>
      </c>
      <c r="N22" s="44">
        <f>Table1[[#This Row],[one-year conditional mortality AT ISSUE]]/Table1[[#This Row],[one-year conditional persistency AT ISSUE]]</f>
        <v>6.4453255239656064E-4</v>
      </c>
      <c r="O22" s="4">
        <f>(1+$B$14)^(Table1[[#This Row],[age since issue]]-$A$17)</f>
        <v>1.1876863056468745</v>
      </c>
      <c r="P22" s="5">
        <f>(Table1[[#This Row],[level premium unmarked-up]]*Table1[[#This Row],[unconditional persistency AT ISSUE]]-Table1[[#This Row],[Death benefit pay probability]])</f>
        <v>9.6532676968385156E-4</v>
      </c>
      <c r="Q22" s="4">
        <f>Table1[[#This Row],[Issuer profit with unmarked-up level premium]]/Table1[[#This Row],[Issuer discounter at issue]]</f>
        <v>8.1277923732402167E-4</v>
      </c>
      <c r="R22" s="4">
        <f>(Table1[[#This Row],[variable premium unmarked up]]*Table1[[#This Row],[unconditional persistency AT ISSUE]]-Table1[[#This Row],[Death benefit pay probability]])</f>
        <v>0</v>
      </c>
      <c r="S22" s="6">
        <f>Table1[[#This Row],[level premium unmarked-up]]*(1+$B$15)</f>
        <v>1.9910109748700498E-3</v>
      </c>
      <c r="T22" s="6">
        <f>MIN(Table1[[#This Row],[variable premium unmarked up]]*(1+$B$15),1)</f>
        <v>6.4453255239656064E-4</v>
      </c>
      <c r="U22" s="6">
        <f>Table1[[#This Row],[level premium marked up]]-Table1[[#This Row],[variable premium marked up]]</f>
        <v>1.3464784224734893E-3</v>
      </c>
      <c r="V22" s="45">
        <f>Table1[[#This Row],[additional cash]]+V21*(1+$D$2)</f>
        <v>8.752405305439543E-3</v>
      </c>
      <c r="W22" s="12"/>
      <c r="X22" s="13"/>
      <c r="Y22" s="49"/>
      <c r="Z22" s="13"/>
      <c r="AA22" s="13"/>
      <c r="AB22" s="50"/>
      <c r="AC22" s="12"/>
      <c r="AD22" s="28"/>
      <c r="AE22" s="46"/>
      <c r="AF22" s="42"/>
      <c r="AG22" s="42"/>
      <c r="AH22" s="48"/>
      <c r="AI22" s="29"/>
      <c r="AJ22" s="29"/>
      <c r="AK22" s="57">
        <f>Table1[[#This Row],[level premium marked up]]*Table1[[#This Row],[unconditional survival NOW]]</f>
        <v>0</v>
      </c>
      <c r="AL22" s="62"/>
      <c r="AM22" s="47"/>
      <c r="AN22" s="58"/>
      <c r="AO22" s="47"/>
      <c r="AP22" s="47"/>
      <c r="AQ22" s="58"/>
      <c r="AR22" s="60"/>
      <c r="AS22" s="58"/>
    </row>
    <row r="23" spans="1:45" s="3" customFormat="1">
      <c r="A23" s="3">
        <v>27</v>
      </c>
      <c r="B23" s="8">
        <v>4.9000000000000002E-2</v>
      </c>
      <c r="C23" s="3">
        <v>0</v>
      </c>
      <c r="D23" s="8">
        <v>4.9000000000000002E-2</v>
      </c>
      <c r="E23" s="12">
        <v>6.2E-4</v>
      </c>
      <c r="F23" s="13">
        <f>1-Table1[[#This Row],[one-year conditional mortality AT ISSUE]]</f>
        <v>0.99938000000000005</v>
      </c>
      <c r="G23" s="13">
        <f>PRODUCT(F$17:F23)</f>
        <v>0.99637548577352864</v>
      </c>
      <c r="H23" s="13">
        <f>Table1[[#This Row],[one-year conditional survival AT ISSUE]]*(1-Table1[[#This Row],[Lapse rate]])</f>
        <v>0.95041038</v>
      </c>
      <c r="I23" s="13">
        <f>PRODUCT(H$17:H23)</f>
        <v>0.68137488628598175</v>
      </c>
      <c r="J23" s="13">
        <f>G22*Table1[[#This Row],[one-year conditional mortality AT ISSUE]]</f>
        <v>6.1813604552781495E-4</v>
      </c>
      <c r="K23" s="10">
        <f>I22*Table1[[#This Row],[one-year conditional mortality AT ISSUE]]</f>
        <v>4.4449475551530557E-4</v>
      </c>
      <c r="L23" s="3">
        <f t="shared" si="0"/>
        <v>1.9910109748700498E-3</v>
      </c>
      <c r="M23" s="44">
        <f>Table1[[#This Row],[Death benefit pay probability]]/Table1[[#This Row],[unconditional persistency AT ISSUE]]</f>
        <v>6.5234977757713461E-4</v>
      </c>
      <c r="N23" s="44">
        <f>Table1[[#This Row],[one-year conditional mortality AT ISSUE]]/Table1[[#This Row],[one-year conditional persistency AT ISSUE]]</f>
        <v>6.5234977757713461E-4</v>
      </c>
      <c r="O23" s="4">
        <f>(1+$B$14)^(Table1[[#This Row],[age since issue]]-$A$17)</f>
        <v>1.2292553263445152</v>
      </c>
      <c r="P23" s="5">
        <f>(Table1[[#This Row],[level premium unmarked-up]]*Table1[[#This Row],[unconditional persistency AT ISSUE]]-Table1[[#This Row],[Death benefit pay probability]])</f>
        <v>9.1213012108091627E-4</v>
      </c>
      <c r="Q23" s="4">
        <f>Table1[[#This Row],[Issuer profit with unmarked-up level premium]]/Table1[[#This Row],[Issuer discounter at issue]]</f>
        <v>7.4201844119183393E-4</v>
      </c>
      <c r="R23" s="4">
        <f>(Table1[[#This Row],[variable premium unmarked up]]*Table1[[#This Row],[unconditional persistency AT ISSUE]]-Table1[[#This Row],[Death benefit pay probability]])</f>
        <v>0</v>
      </c>
      <c r="S23" s="6">
        <f>Table1[[#This Row],[level premium unmarked-up]]*(1+$B$15)</f>
        <v>1.9910109748700498E-3</v>
      </c>
      <c r="T23" s="6">
        <f>MIN(Table1[[#This Row],[variable premium unmarked up]]*(1+$B$15),1)</f>
        <v>6.5234977757713461E-4</v>
      </c>
      <c r="U23" s="6">
        <f>Table1[[#This Row],[level premium marked up]]-Table1[[#This Row],[variable premium marked up]]</f>
        <v>1.3386611972929152E-3</v>
      </c>
      <c r="V23" s="6">
        <f>Table1[[#This Row],[additional cash]]+V22*(1+$D$2)</f>
        <v>1.0099818908037898E-2</v>
      </c>
      <c r="W23" s="12">
        <v>0</v>
      </c>
      <c r="X23" s="13">
        <f>1-Table1[[#This Row],[one-year conditional mortality NOW]]</f>
        <v>1</v>
      </c>
      <c r="Y23" s="49">
        <f>PRODUCT(X$17:X23)</f>
        <v>1</v>
      </c>
      <c r="Z23" s="13">
        <v>1</v>
      </c>
      <c r="AA23" s="13">
        <f>PRODUCT(Z$17:Z23)</f>
        <v>1</v>
      </c>
      <c r="AB23" s="50">
        <f>Y22*Table1[[#This Row],[one-year conditional mortality NOW]]</f>
        <v>0</v>
      </c>
      <c r="AC23" s="14">
        <v>0</v>
      </c>
      <c r="AD23" s="28">
        <f>(1+Table1[[#This Row],[Yield curve now]])^(Table1[[#This Row],[age since issue]]-$A$23)</f>
        <v>1</v>
      </c>
      <c r="AE23" s="46">
        <v>0</v>
      </c>
      <c r="AF23" s="42">
        <f>1-Table1[[#This Row],[cumulative debt until t]]</f>
        <v>1</v>
      </c>
      <c r="AG23" s="46">
        <f>Table1[[#This Row],[cumulative debt until t]]*Table1[[#This Row],[Unconditional mortality NOW]]/Table1[[#This Row],[discouter with yield curve]]</f>
        <v>0</v>
      </c>
      <c r="AH23" s="48">
        <f>Table1[[#This Row],[Unconditional mortality NOW]]/Table1[[#This Row],[discouter with yield curve]]</f>
        <v>0</v>
      </c>
      <c r="AI23" s="29">
        <f>Table1[[#This Row],[user profit (death benefit - debt)]]*Table1[[#This Row],[Unconditional mortality NOW]]/Table1[[#This Row],[discouter with yield curve]]</f>
        <v>0</v>
      </c>
      <c r="AJ23" s="29">
        <f>(1+$D$4)^(Table1[[#This Row],[age since issue]]-$A$23)</f>
        <v>1</v>
      </c>
      <c r="AK23" s="57">
        <f>Table1[[#This Row],[level premium marked up]]*Table1[[#This Row],[unconditional survival NOW]]</f>
        <v>1.9910109748700498E-3</v>
      </c>
      <c r="AL23" s="62">
        <f>Table1[[#This Row],[cumulative debt until t]]*Table1[[#This Row],[Unconditional mortality NOW]]</f>
        <v>0</v>
      </c>
      <c r="AM23" s="47">
        <f>Table1[[#This Row],[probablistic premium stream]]/Table1[[#This Row],[lender discounter]]</f>
        <v>1.9910109748700498E-3</v>
      </c>
      <c r="AN23" s="58">
        <f>Table1[[#This Row],[probablistic repay from borrower]]/Table1[[#This Row],[lender discounter]]</f>
        <v>0</v>
      </c>
      <c r="AO23" s="47">
        <f>(Table1[[#This Row],[probablistic repay from borrower]]-Table1[[#This Row],[probablistic premium stream]])/Table1[[#This Row],[lender discounter]]</f>
        <v>-1.9910109748700498E-3</v>
      </c>
      <c r="AP23" s="46">
        <f>AP22*(1+$D$4)+ Table1[[#This Row],[level premium marked up]]</f>
        <v>1.9910109748700498E-3</v>
      </c>
      <c r="AQ23" s="58">
        <f>AP23*Table1[[#This Row],[Unconditional mortality NOW]]</f>
        <v>0</v>
      </c>
      <c r="AR23" s="60">
        <f>Table1[[#This Row],[cumulative debt until t]]*Table1[[#This Row],[Unconditional mortality NOW]]</f>
        <v>0</v>
      </c>
      <c r="AS23" s="58">
        <f>Table1[[#This Row],[lender to pay cumulative probablistic undiscounted]]/Table1[[#This Row],[lender discounter]]</f>
        <v>0</v>
      </c>
    </row>
    <row r="24" spans="1:45" s="3" customFormat="1">
      <c r="A24" s="3">
        <v>28</v>
      </c>
      <c r="B24" s="8">
        <v>4.3999999999999997E-2</v>
      </c>
      <c r="C24" s="3">
        <v>0</v>
      </c>
      <c r="D24" s="8">
        <v>4.3999999999999997E-2</v>
      </c>
      <c r="E24" s="12">
        <v>6.3000000000000003E-4</v>
      </c>
      <c r="F24" s="13">
        <f>1-Table1[[#This Row],[one-year conditional mortality AT ISSUE]]</f>
        <v>0.99936999999999998</v>
      </c>
      <c r="G24" s="13">
        <f>PRODUCT(F$17:F24)</f>
        <v>0.99574776921749131</v>
      </c>
      <c r="H24" s="13">
        <f>Table1[[#This Row],[one-year conditional survival AT ISSUE]]*(1-Table1[[#This Row],[Lapse rate]])</f>
        <v>0.95539771999999989</v>
      </c>
      <c r="I24" s="13">
        <f>PRODUCT(H$17:H24)</f>
        <v>0.6509840128228862</v>
      </c>
      <c r="J24" s="13">
        <f>G23*Table1[[#This Row],[one-year conditional mortality AT ISSUE]]</f>
        <v>6.2771655603732302E-4</v>
      </c>
      <c r="K24" s="10">
        <f>I23*Table1[[#This Row],[one-year conditional mortality AT ISSUE]]</f>
        <v>4.2926617836016852E-4</v>
      </c>
      <c r="L24" s="3">
        <f t="shared" si="0"/>
        <v>1.9910109748700498E-3</v>
      </c>
      <c r="M24" s="44">
        <f>Table1[[#This Row],[Death benefit pay probability]]/Table1[[#This Row],[unconditional persistency AT ISSUE]]</f>
        <v>6.5941124498392154E-4</v>
      </c>
      <c r="N24" s="44">
        <f>Table1[[#This Row],[one-year conditional mortality AT ISSUE]]/Table1[[#This Row],[one-year conditional persistency AT ISSUE]]</f>
        <v>6.5941124498392154E-4</v>
      </c>
      <c r="O24" s="4">
        <f>(1+$B$14)^(Table1[[#This Row],[age since issue]]-$A$17)</f>
        <v>1.2722792627665731</v>
      </c>
      <c r="P24" s="5">
        <f>(Table1[[#This Row],[level premium unmarked-up]]*Table1[[#This Row],[unconditional persistency AT ISSUE]]-Table1[[#This Row],[Death benefit pay probability]])</f>
        <v>8.6685013563514316E-4</v>
      </c>
      <c r="Q24" s="4">
        <f>Table1[[#This Row],[Issuer profit with unmarked-up level premium]]/Table1[[#This Row],[Issuer discounter at issue]]</f>
        <v>6.8133637087676511E-4</v>
      </c>
      <c r="R24" s="4">
        <f>(Table1[[#This Row],[variable premium unmarked up]]*Table1[[#This Row],[unconditional persistency AT ISSUE]]-Table1[[#This Row],[Death benefit pay probability]])</f>
        <v>0</v>
      </c>
      <c r="S24" s="6">
        <f>Table1[[#This Row],[level premium unmarked-up]]*(1+$B$15)</f>
        <v>1.9910109748700498E-3</v>
      </c>
      <c r="T24" s="6">
        <f>MIN(Table1[[#This Row],[variable premium unmarked up]]*(1+$B$15),1)</f>
        <v>6.5941124498392154E-4</v>
      </c>
      <c r="U24" s="6">
        <f>Table1[[#This Row],[level premium marked up]]-Table1[[#This Row],[variable premium marked up]]</f>
        <v>1.3315997298861282E-3</v>
      </c>
      <c r="V24" s="6">
        <f>Table1[[#This Row],[additional cash]]+V23*(1+$D$2)</f>
        <v>1.1441518456832063E-2</v>
      </c>
      <c r="W24" s="12">
        <v>4.6000000000000001E-4</v>
      </c>
      <c r="X24" s="13">
        <f>1-Table1[[#This Row],[one-year conditional mortality NOW]]</f>
        <v>0.99953999999999998</v>
      </c>
      <c r="Y24" s="49">
        <f>PRODUCT(X$17:X24)</f>
        <v>0.99953999999999998</v>
      </c>
      <c r="Z24" s="13">
        <f>Table1[[#This Row],[one-year conditional survival NOW]]*(1-Table1[[#This Row],[Lapse rate]])</f>
        <v>0.95556023999999995</v>
      </c>
      <c r="AA24" s="13">
        <f>PRODUCT(Z$17:Z24)</f>
        <v>0.95556023999999995</v>
      </c>
      <c r="AB24" s="50">
        <f>Y23*Table1[[#This Row],[one-year conditional mortality NOW]]</f>
        <v>4.6000000000000001E-4</v>
      </c>
      <c r="AC24" s="14">
        <v>5.9999999999999995E-4</v>
      </c>
      <c r="AD24" s="28">
        <f>(1+Table1[[#This Row],[Yield curve now]])^(Table1[[#This Row],[age since issue]]-$A$23)</f>
        <v>1.0005999999999999</v>
      </c>
      <c r="AE24" s="46">
        <f>(AE23+L23)*(1+$B$2)</f>
        <v>2.1082359902432433E-3</v>
      </c>
      <c r="AF24" s="42">
        <f>1-Table1[[#This Row],[cumulative debt until t]]</f>
        <v>0.99789176400975677</v>
      </c>
      <c r="AG24" s="46">
        <f>Table1[[#This Row],[cumulative debt until t]]*Table1[[#This Row],[Unconditional mortality NOW]]/Table1[[#This Row],[discouter with yield curve]]</f>
        <v>9.6920703129311613E-7</v>
      </c>
      <c r="AH24" s="48">
        <f>Table1[[#This Row],[Unconditional mortality NOW]]/Table1[[#This Row],[discouter with yield curve]]</f>
        <v>4.5972416550069963E-4</v>
      </c>
      <c r="AI24" s="29">
        <f>Table1[[#This Row],[user profit (death benefit - debt)]]*Table1[[#This Row],[Unconditional mortality NOW]]/Table1[[#This Row],[discouter with yield curve]]</f>
        <v>4.5875495846940651E-4</v>
      </c>
      <c r="AJ24" s="29">
        <f>(1+$D$4)^(Table1[[#This Row],[age since issue]]-$A$23)</f>
        <v>1.1499999999999999</v>
      </c>
      <c r="AK24" s="57">
        <f>Table1[[#This Row],[level premium marked up]]*Table1[[#This Row],[unconditional survival NOW]]</f>
        <v>1.9900951098216096E-3</v>
      </c>
      <c r="AL24" s="62">
        <f>Table1[[#This Row],[cumulative debt until t]]*Table1[[#This Row],[Unconditional mortality NOW]]</f>
        <v>9.6978855551189198E-7</v>
      </c>
      <c r="AM24" s="47">
        <f>Table1[[#This Row],[probablistic premium stream]]/Table1[[#This Row],[lender discounter]]</f>
        <v>1.7305174868013997E-3</v>
      </c>
      <c r="AN24" s="58">
        <f>Table1[[#This Row],[probablistic repay from borrower]]/Table1[[#This Row],[lender discounter]]</f>
        <v>8.4329439609729744E-7</v>
      </c>
      <c r="AO24" s="47">
        <f>(Table1[[#This Row],[probablistic repay from borrower]]-Table1[[#This Row],[probablistic premium stream]])/Table1[[#This Row],[lender discounter]]</f>
        <v>-1.7296741924053022E-3</v>
      </c>
      <c r="AP24" s="46">
        <f>AP23*(1+$D$4)+ Table1[[#This Row],[level premium marked up]]</f>
        <v>4.2806735959706067E-3</v>
      </c>
      <c r="AQ24" s="58">
        <f>AP24*Table1[[#This Row],[Unconditional mortality NOW]]</f>
        <v>1.969109854146479E-6</v>
      </c>
      <c r="AR24" s="60">
        <f>Table1[[#This Row],[cumulative debt until t]]*Table1[[#This Row],[Unconditional mortality NOW]]</f>
        <v>9.6978855551189198E-7</v>
      </c>
      <c r="AS24" s="58">
        <f>Table1[[#This Row],[lender to pay cumulative probablistic undiscounted]]/Table1[[#This Row],[lender discounter]]</f>
        <v>1.7122694383882426E-6</v>
      </c>
    </row>
    <row r="25" spans="1:45" s="3" customFormat="1">
      <c r="A25" s="3">
        <v>29</v>
      </c>
      <c r="B25" s="8">
        <v>4.2999999999999997E-2</v>
      </c>
      <c r="C25" s="3">
        <v>0</v>
      </c>
      <c r="D25" s="8">
        <v>4.2999999999999997E-2</v>
      </c>
      <c r="E25" s="12">
        <v>6.3000000000000003E-4</v>
      </c>
      <c r="F25" s="13">
        <f>1-Table1[[#This Row],[one-year conditional mortality AT ISSUE]]</f>
        <v>0.99936999999999998</v>
      </c>
      <c r="G25" s="13">
        <f>PRODUCT(F$17:F25)</f>
        <v>0.99512044812288425</v>
      </c>
      <c r="H25" s="13">
        <f>Table1[[#This Row],[one-year conditional survival AT ISSUE]]*(1-Table1[[#This Row],[Lapse rate]])</f>
        <v>0.95639708999999995</v>
      </c>
      <c r="I25" s="13">
        <f>PRODUCT(H$17:H25)</f>
        <v>0.62259921550033104</v>
      </c>
      <c r="J25" s="13">
        <f>G24*Table1[[#This Row],[one-year conditional mortality AT ISSUE]]</f>
        <v>6.273210946070195E-4</v>
      </c>
      <c r="K25" s="10">
        <f>I24*Table1[[#This Row],[one-year conditional mortality AT ISSUE]]</f>
        <v>4.1011992807841834E-4</v>
      </c>
      <c r="L25" s="3">
        <f t="shared" si="0"/>
        <v>1.9910109748700498E-3</v>
      </c>
      <c r="M25" s="44">
        <f>Table1[[#This Row],[Death benefit pay probability]]/Table1[[#This Row],[unconditional persistency AT ISSUE]]</f>
        <v>6.5872220502051092E-4</v>
      </c>
      <c r="N25" s="44">
        <f>Table1[[#This Row],[one-year conditional mortality AT ISSUE]]/Table1[[#This Row],[one-year conditional persistency AT ISSUE]]</f>
        <v>6.5872220502051092E-4</v>
      </c>
      <c r="O25" s="4">
        <f>(1+$B$14)^(Table1[[#This Row],[age since issue]]-$A$17)</f>
        <v>1.3168090369634029</v>
      </c>
      <c r="P25" s="5">
        <f>(Table1[[#This Row],[level premium unmarked-up]]*Table1[[#This Row],[unconditional persistency AT ISSUE]]-Table1[[#This Row],[Death benefit pay probability]])</f>
        <v>8.2948194292822397E-4</v>
      </c>
      <c r="Q25" s="4">
        <f>Table1[[#This Row],[Issuer profit with unmarked-up level premium]]/Table1[[#This Row],[Issuer discounter at issue]]</f>
        <v>6.2991817313240168E-4</v>
      </c>
      <c r="R25" s="4">
        <f>(Table1[[#This Row],[variable premium unmarked up]]*Table1[[#This Row],[unconditional persistency AT ISSUE]]-Table1[[#This Row],[Death benefit pay probability]])</f>
        <v>0</v>
      </c>
      <c r="S25" s="6">
        <f>Table1[[#This Row],[level premium unmarked-up]]*(1+$B$15)</f>
        <v>1.9910109748700498E-3</v>
      </c>
      <c r="T25" s="6">
        <f>MIN(Table1[[#This Row],[variable premium unmarked up]]*(1+$B$15),1)</f>
        <v>6.5872220502051092E-4</v>
      </c>
      <c r="U25" s="6">
        <f>Table1[[#This Row],[level premium marked up]]-Table1[[#This Row],[variable premium marked up]]</f>
        <v>1.3322887698495388E-3</v>
      </c>
      <c r="V25" s="6">
        <f>Table1[[#This Row],[additional cash]]+V24*(1+$D$2)</f>
        <v>1.2785248745138433E-2</v>
      </c>
      <c r="W25" s="12">
        <v>4.2999999999999999E-4</v>
      </c>
      <c r="X25" s="13">
        <f>1-Table1[[#This Row],[one-year conditional mortality NOW]]</f>
        <v>0.99956999999999996</v>
      </c>
      <c r="Y25" s="49">
        <f>PRODUCT(X$17:X25)</f>
        <v>0.99911019779999999</v>
      </c>
      <c r="Z25" s="13">
        <f>Table1[[#This Row],[one-year conditional survival NOW]]*(1-Table1[[#This Row],[Lapse rate]])</f>
        <v>0.9565884899999999</v>
      </c>
      <c r="AA25" s="13">
        <f>PRODUCT(Z$17:Z25)</f>
        <v>0.91407792708563751</v>
      </c>
      <c r="AB25" s="50">
        <f>Y24*Table1[[#This Row],[one-year conditional mortality NOW]]</f>
        <v>4.2980219999999998E-4</v>
      </c>
      <c r="AC25" s="14">
        <v>8.9999999999999998E-4</v>
      </c>
      <c r="AD25" s="28">
        <f>(1+Table1[[#This Row],[Yield curve now]])^(Table1[[#This Row],[age since issue]]-$A$23)</f>
        <v>1.0018008099999998</v>
      </c>
      <c r="AE25" s="46">
        <f t="shared" ref="AE25:AE88" si="1">(AE24+L24)*(1+$B$2)</f>
        <v>4.3405988685277317E-3</v>
      </c>
      <c r="AF25" s="42">
        <f>1-Table1[[#This Row],[cumulative debt until t]]</f>
        <v>0.99565940113147222</v>
      </c>
      <c r="AG25" s="46">
        <f>Table1[[#This Row],[cumulative debt until t]]*Table1[[#This Row],[Unconditional mortality NOW]]/Table1[[#This Row],[discouter with yield curve]]</f>
        <v>1.8622453928847692E-6</v>
      </c>
      <c r="AH25" s="48">
        <f>Table1[[#This Row],[Unconditional mortality NOW]]/Table1[[#This Row],[discouter with yield curve]]</f>
        <v>4.2902959920745133E-4</v>
      </c>
      <c r="AI25" s="29">
        <f>Table1[[#This Row],[user profit (death benefit - debt)]]*Table1[[#This Row],[Unconditional mortality NOW]]/Table1[[#This Row],[discouter with yield curve]]</f>
        <v>4.2716735381456651E-4</v>
      </c>
      <c r="AJ25" s="29">
        <f>(1+$D$4)^(Table1[[#This Row],[age since issue]]-$A$23)</f>
        <v>1.3224999999999998</v>
      </c>
      <c r="AK25" s="57">
        <f>Table1[[#This Row],[level premium marked up]]*Table1[[#This Row],[unconditional survival NOW]]</f>
        <v>1.9892393689243861E-3</v>
      </c>
      <c r="AL25" s="62">
        <f>Table1[[#This Row],[cumulative debt until t]]*Table1[[#This Row],[Unconditional mortality NOW]]</f>
        <v>1.8655989430107296E-6</v>
      </c>
      <c r="AM25" s="47">
        <f>Table1[[#This Row],[probablistic premium stream]]/Table1[[#This Row],[lender discounter]]</f>
        <v>1.5041507515496306E-3</v>
      </c>
      <c r="AN25" s="58">
        <f>Table1[[#This Row],[probablistic repay from borrower]]/Table1[[#This Row],[lender discounter]]</f>
        <v>1.4106608264731417E-6</v>
      </c>
      <c r="AO25" s="47">
        <f>(Table1[[#This Row],[probablistic repay from borrower]]-Table1[[#This Row],[probablistic premium stream]])/Table1[[#This Row],[lender discounter]]</f>
        <v>-1.5027400907231573E-3</v>
      </c>
      <c r="AP25" s="46">
        <f>AP24*(1+$D$4)+ Table1[[#This Row],[level premium marked up]]</f>
        <v>6.9137856102362474E-3</v>
      </c>
      <c r="AQ25" s="58">
        <f>AP25*Table1[[#This Row],[Unconditional mortality NOW]]</f>
        <v>2.9715602656078815E-6</v>
      </c>
      <c r="AR25" s="60">
        <f>Table1[[#This Row],[cumulative debt until t]]*Table1[[#This Row],[Unconditional mortality NOW]]</f>
        <v>1.8655989430107296E-6</v>
      </c>
      <c r="AS25" s="58">
        <f>Table1[[#This Row],[lender to pay cumulative probablistic undiscounted]]/Table1[[#This Row],[lender discounter]]</f>
        <v>2.2469264768301566E-6</v>
      </c>
    </row>
    <row r="26" spans="1:45" s="3" customFormat="1">
      <c r="A26" s="3">
        <v>30</v>
      </c>
      <c r="B26" s="8">
        <v>4.2000000000000003E-2</v>
      </c>
      <c r="C26" s="3">
        <v>0</v>
      </c>
      <c r="D26" s="8">
        <v>4.2000000000000003E-2</v>
      </c>
      <c r="E26" s="12">
        <v>6.4000000000000005E-4</v>
      </c>
      <c r="F26" s="13">
        <f>1-Table1[[#This Row],[one-year conditional mortality AT ISSUE]]</f>
        <v>0.99936000000000003</v>
      </c>
      <c r="G26" s="13">
        <f>PRODUCT(F$17:F26)</f>
        <v>0.99448357103608565</v>
      </c>
      <c r="H26" s="13">
        <f>Table1[[#This Row],[one-year conditional survival AT ISSUE]]*(1-Table1[[#This Row],[Lapse rate]])</f>
        <v>0.95738687999999994</v>
      </c>
      <c r="I26" s="13">
        <f>PRODUCT(H$17:H26)</f>
        <v>0.59606832041830948</v>
      </c>
      <c r="J26" s="13">
        <f>G25*Table1[[#This Row],[one-year conditional mortality AT ISSUE]]</f>
        <v>6.3687708679864596E-4</v>
      </c>
      <c r="K26" s="10">
        <f>I25*Table1[[#This Row],[one-year conditional mortality AT ISSUE]]</f>
        <v>3.9846349792021189E-4</v>
      </c>
      <c r="L26" s="3">
        <f t="shared" si="0"/>
        <v>1.9910109748700498E-3</v>
      </c>
      <c r="M26" s="44">
        <f>Table1[[#This Row],[Death benefit pay probability]]/Table1[[#This Row],[unconditional persistency AT ISSUE]]</f>
        <v>6.6848628633807904E-4</v>
      </c>
      <c r="N26" s="44">
        <f>Table1[[#This Row],[one-year conditional mortality AT ISSUE]]/Table1[[#This Row],[one-year conditional persistency AT ISSUE]]</f>
        <v>6.6848628633807904E-4</v>
      </c>
      <c r="O26" s="4">
        <f>(1+$B$14)^(Table1[[#This Row],[age since issue]]-$A$17)</f>
        <v>1.3628973532571218</v>
      </c>
      <c r="P26" s="5">
        <f>(Table1[[#This Row],[level premium unmarked-up]]*Table1[[#This Row],[unconditional persistency AT ISSUE]]-Table1[[#This Row],[Death benefit pay probability]])</f>
        <v>7.8831506980499961E-4</v>
      </c>
      <c r="Q26" s="4">
        <f>Table1[[#This Row],[Issuer profit with unmarked-up level premium]]/Table1[[#This Row],[Issuer discounter at issue]]</f>
        <v>5.7841118255974589E-4</v>
      </c>
      <c r="R26" s="4">
        <f>(Table1[[#This Row],[variable premium unmarked up]]*Table1[[#This Row],[unconditional persistency AT ISSUE]]-Table1[[#This Row],[Death benefit pay probability]])</f>
        <v>0</v>
      </c>
      <c r="S26" s="6">
        <f>Table1[[#This Row],[level premium unmarked-up]]*(1+$B$15)</f>
        <v>1.9910109748700498E-3</v>
      </c>
      <c r="T26" s="6">
        <f>MIN(Table1[[#This Row],[variable premium unmarked up]]*(1+$B$15),1)</f>
        <v>6.6848628633807904E-4</v>
      </c>
      <c r="U26" s="6">
        <f>Table1[[#This Row],[level premium marked up]]-Table1[[#This Row],[variable premium marked up]]</f>
        <v>1.3225246885319709E-3</v>
      </c>
      <c r="V26" s="6">
        <f>Table1[[#This Row],[additional cash]]+V25*(1+$D$2)</f>
        <v>1.4120558682415541E-2</v>
      </c>
      <c r="W26" s="12">
        <v>4.0000000000000002E-4</v>
      </c>
      <c r="X26" s="13">
        <f>1-Table1[[#This Row],[one-year conditional mortality NOW]]</f>
        <v>0.99960000000000004</v>
      </c>
      <c r="Y26" s="49">
        <f>PRODUCT(X$17:X26)</f>
        <v>0.99871055372088002</v>
      </c>
      <c r="Z26" s="13">
        <f>Table1[[#This Row],[one-year conditional survival NOW]]*(1-Table1[[#This Row],[Lapse rate]])</f>
        <v>0.95761680000000005</v>
      </c>
      <c r="AA26" s="13">
        <f>PRODUCT(Z$17:Z26)</f>
        <v>0.87533637948638154</v>
      </c>
      <c r="AB26" s="50">
        <f>Y25*Table1[[#This Row],[one-year conditional mortality NOW]]</f>
        <v>3.9964407911999999E-4</v>
      </c>
      <c r="AC26" s="14">
        <v>1.9E-3</v>
      </c>
      <c r="AD26" s="28">
        <f>(1+Table1[[#This Row],[Yield curve now]])^(Table1[[#This Row],[age since issue]]-$A$23)</f>
        <v>1.005710836859</v>
      </c>
      <c r="AE26" s="46">
        <f t="shared" si="1"/>
        <v>6.704396869987533E-3</v>
      </c>
      <c r="AF26" s="42">
        <f>1-Table1[[#This Row],[cumulative debt until t]]</f>
        <v>0.99329560313001242</v>
      </c>
      <c r="AG26" s="46">
        <f>Table1[[#This Row],[cumulative debt until t]]*Table1[[#This Row],[Unconditional mortality NOW]]/Table1[[#This Row],[discouter with yield curve]]</f>
        <v>2.6641579417890117E-6</v>
      </c>
      <c r="AH26" s="48">
        <f>Table1[[#This Row],[Unconditional mortality NOW]]/Table1[[#This Row],[discouter with yield curve]]</f>
        <v>3.9737473682609811E-4</v>
      </c>
      <c r="AI26" s="29">
        <f>Table1[[#This Row],[user profit (death benefit - debt)]]*Table1[[#This Row],[Unconditional mortality NOW]]/Table1[[#This Row],[discouter with yield curve]]</f>
        <v>3.9471057888430903E-4</v>
      </c>
      <c r="AJ26" s="29">
        <f>(1+$D$4)^(Table1[[#This Row],[age since issue]]-$A$23)</f>
        <v>1.5208749999999995</v>
      </c>
      <c r="AK26" s="57">
        <f>Table1[[#This Row],[level premium marked up]]*Table1[[#This Row],[unconditional survival NOW]]</f>
        <v>1.9884436731768167E-3</v>
      </c>
      <c r="AL26" s="62">
        <f>Table1[[#This Row],[cumulative debt until t]]*Table1[[#This Row],[Unconditional mortality NOW]]</f>
        <v>2.6793725131611779E-6</v>
      </c>
      <c r="AM26" s="47">
        <f>Table1[[#This Row],[probablistic premium stream]]/Table1[[#This Row],[lender discounter]]</f>
        <v>1.3074339923904445E-3</v>
      </c>
      <c r="AN26" s="58">
        <f>Table1[[#This Row],[probablistic repay from borrower]]/Table1[[#This Row],[lender discounter]]</f>
        <v>1.7617309201355659E-6</v>
      </c>
      <c r="AO26" s="47">
        <f>(Table1[[#This Row],[probablistic repay from borrower]]-Table1[[#This Row],[probablistic premium stream]])/Table1[[#This Row],[lender discounter]]</f>
        <v>-1.3056722614703091E-3</v>
      </c>
      <c r="AP26" s="46">
        <f>AP25*(1+$D$4)+ Table1[[#This Row],[level premium marked up]]</f>
        <v>9.941864426641734E-3</v>
      </c>
      <c r="AQ26" s="58">
        <f>AP26*Table1[[#This Row],[Unconditional mortality NOW]]</f>
        <v>3.9732072535211229E-6</v>
      </c>
      <c r="AR26" s="60">
        <f>Table1[[#This Row],[cumulative debt until t]]*Table1[[#This Row],[Unconditional mortality NOW]]</f>
        <v>2.6793725131611779E-6</v>
      </c>
      <c r="AS26" s="58">
        <f>Table1[[#This Row],[lender to pay cumulative probablistic undiscounted]]/Table1[[#This Row],[lender discounter]]</f>
        <v>2.6124482640066568E-6</v>
      </c>
    </row>
    <row r="27" spans="1:45" s="3" customFormat="1">
      <c r="A27" s="3">
        <v>31</v>
      </c>
      <c r="B27" s="8">
        <v>4.2000000000000003E-2</v>
      </c>
      <c r="C27" s="3">
        <v>0</v>
      </c>
      <c r="D27" s="8">
        <v>4.2000000000000003E-2</v>
      </c>
      <c r="E27" s="12">
        <v>6.4999999999999997E-4</v>
      </c>
      <c r="F27" s="13">
        <f>1-Table1[[#This Row],[one-year conditional mortality AT ISSUE]]</f>
        <v>0.99934999999999996</v>
      </c>
      <c r="G27" s="13">
        <f>PRODUCT(F$17:F27)</f>
        <v>0.99383715671491213</v>
      </c>
      <c r="H27" s="13">
        <f>Table1[[#This Row],[one-year conditional survival AT ISSUE]]*(1-Table1[[#This Row],[Lapse rate]])</f>
        <v>0.95737729999999988</v>
      </c>
      <c r="I27" s="13">
        <f>PRODUCT(H$17:H27)</f>
        <v>0.57066227921761592</v>
      </c>
      <c r="J27" s="13">
        <f>G26*Table1[[#This Row],[one-year conditional mortality AT ISSUE]]</f>
        <v>6.4641432117345566E-4</v>
      </c>
      <c r="K27" s="10">
        <f>I26*Table1[[#This Row],[one-year conditional mortality AT ISSUE]]</f>
        <v>3.8744440827190112E-4</v>
      </c>
      <c r="L27" s="3">
        <f t="shared" si="0"/>
        <v>1.9910109748700498E-3</v>
      </c>
      <c r="M27" s="44">
        <f>Table1[[#This Row],[Death benefit pay probability]]/Table1[[#This Row],[unconditional persistency AT ISSUE]]</f>
        <v>6.7893817829188139E-4</v>
      </c>
      <c r="N27" s="44">
        <f>Table1[[#This Row],[one-year conditional mortality AT ISSUE]]/Table1[[#This Row],[one-year conditional persistency AT ISSUE]]</f>
        <v>6.7893817829188139E-4</v>
      </c>
      <c r="O27" s="4">
        <f>(1+$B$14)^(Table1[[#This Row],[age since issue]]-$A$17)</f>
        <v>1.410598760621121</v>
      </c>
      <c r="P27" s="5">
        <f>(Table1[[#This Row],[level premium unmarked-up]]*Table1[[#This Row],[unconditional persistency AT ISSUE]]-Table1[[#This Row],[Death benefit pay probability]])</f>
        <v>7.4875045259472891E-4</v>
      </c>
      <c r="Q27" s="4">
        <f>Table1[[#This Row],[Issuer profit with unmarked-up level premium]]/Table1[[#This Row],[Issuer discounter at issue]]</f>
        <v>5.3080328261811028E-4</v>
      </c>
      <c r="R27" s="4">
        <f>(Table1[[#This Row],[variable premium unmarked up]]*Table1[[#This Row],[unconditional persistency AT ISSUE]]-Table1[[#This Row],[Death benefit pay probability]])</f>
        <v>0</v>
      </c>
      <c r="S27" s="6">
        <f>Table1[[#This Row],[level premium unmarked-up]]*(1+$B$15)</f>
        <v>1.9910109748700498E-3</v>
      </c>
      <c r="T27" s="6">
        <f>MIN(Table1[[#This Row],[variable premium unmarked up]]*(1+$B$15),1)</f>
        <v>6.7893817829188139E-4</v>
      </c>
      <c r="U27" s="6">
        <f>Table1[[#This Row],[level premium marked up]]-Table1[[#This Row],[variable premium marked up]]</f>
        <v>1.3120727965781685E-3</v>
      </c>
      <c r="V27" s="6">
        <f>Table1[[#This Row],[additional cash]]+V26*(1+$D$2)</f>
        <v>1.5446752037676124E-2</v>
      </c>
      <c r="W27" s="12">
        <v>4.2000000000000002E-4</v>
      </c>
      <c r="X27" s="13">
        <f>1-Table1[[#This Row],[one-year conditional mortality NOW]]</f>
        <v>0.99958000000000002</v>
      </c>
      <c r="Y27" s="49">
        <f>PRODUCT(X$17:X27)</f>
        <v>0.99829109528831728</v>
      </c>
      <c r="Z27" s="13">
        <f>Table1[[#This Row],[one-year conditional survival NOW]]*(1-Table1[[#This Row],[Lapse rate]])</f>
        <v>0.95759764000000003</v>
      </c>
      <c r="AA27" s="13">
        <f>PRODUCT(Z$17:Z27)</f>
        <v>0.83822005120230336</v>
      </c>
      <c r="AB27" s="50">
        <f>Y26*Table1[[#This Row],[one-year conditional mortality NOW]]</f>
        <v>4.1945843256276961E-4</v>
      </c>
      <c r="AC27" s="14">
        <v>3.3E-3</v>
      </c>
      <c r="AD27" s="28">
        <f>(1+Table1[[#This Row],[Yield curve now]])^(Table1[[#This Row],[age since issue]]-$A$23)</f>
        <v>1.0132654838665924</v>
      </c>
      <c r="AE27" s="46">
        <f t="shared" si="1"/>
        <v>9.2073685176791605E-3</v>
      </c>
      <c r="AF27" s="42">
        <f>1-Table1[[#This Row],[cumulative debt until t]]</f>
        <v>0.99079263148232088</v>
      </c>
      <c r="AG27" s="46">
        <f>Table1[[#This Row],[cumulative debt until t]]*Table1[[#This Row],[Unconditional mortality NOW]]/Table1[[#This Row],[discouter with yield curve]]</f>
        <v>3.8115463597119638E-6</v>
      </c>
      <c r="AH27" s="48">
        <f>Table1[[#This Row],[Unconditional mortality NOW]]/Table1[[#This Row],[discouter with yield curve]]</f>
        <v>4.1396696052660166E-4</v>
      </c>
      <c r="AI27" s="29">
        <f>Table1[[#This Row],[user profit (death benefit - debt)]]*Table1[[#This Row],[Unconditional mortality NOW]]/Table1[[#This Row],[discouter with yield curve]]</f>
        <v>4.1015541416688969E-4</v>
      </c>
      <c r="AJ27" s="29">
        <f>(1+$D$4)^(Table1[[#This Row],[age since issue]]-$A$23)</f>
        <v>1.7490062499999994</v>
      </c>
      <c r="AK27" s="57">
        <f>Table1[[#This Row],[level premium marked up]]*Table1[[#This Row],[unconditional survival NOW]]</f>
        <v>1.9876085268340825E-3</v>
      </c>
      <c r="AL27" s="62">
        <f>Table1[[#This Row],[cumulative debt until t]]*Table1[[#This Row],[Unconditional mortality NOW]]</f>
        <v>3.862108366453492E-6</v>
      </c>
      <c r="AM27" s="47">
        <f>Table1[[#This Row],[probablistic premium stream]]/Table1[[#This Row],[lender discounter]]</f>
        <v>1.1364216261857745E-3</v>
      </c>
      <c r="AN27" s="58">
        <f>Table1[[#This Row],[probablistic repay from borrower]]/Table1[[#This Row],[lender discounter]]</f>
        <v>2.2081729933517923E-6</v>
      </c>
      <c r="AO27" s="47">
        <f>(Table1[[#This Row],[probablistic repay from borrower]]-Table1[[#This Row],[probablistic premium stream]])/Table1[[#This Row],[lender discounter]]</f>
        <v>-1.1342134531924226E-3</v>
      </c>
      <c r="AP27" s="46">
        <f>AP26*(1+$D$4)+ Table1[[#This Row],[level premium marked up]]</f>
        <v>1.3424155065508044E-2</v>
      </c>
      <c r="AQ27" s="58">
        <f>AP27*Table1[[#This Row],[Unconditional mortality NOW]]</f>
        <v>5.6308750422575679E-6</v>
      </c>
      <c r="AR27" s="60">
        <f>Table1[[#This Row],[cumulative debt until t]]*Table1[[#This Row],[Unconditional mortality NOW]]</f>
        <v>3.862108366453492E-6</v>
      </c>
      <c r="AS27" s="58">
        <f>Table1[[#This Row],[lender to pay cumulative probablistic undiscounted]]/Table1[[#This Row],[lender discounter]]</f>
        <v>3.2194710809395734E-6</v>
      </c>
    </row>
    <row r="28" spans="1:45" s="3" customFormat="1">
      <c r="A28" s="3">
        <v>32</v>
      </c>
      <c r="B28" s="8">
        <v>4.0999999999999898E-2</v>
      </c>
      <c r="C28" s="3">
        <v>0</v>
      </c>
      <c r="D28" s="8">
        <v>4.0999999999999898E-2</v>
      </c>
      <c r="E28" s="12">
        <v>6.6E-4</v>
      </c>
      <c r="F28" s="13">
        <f>1-Table1[[#This Row],[one-year conditional mortality AT ISSUE]]</f>
        <v>0.99934000000000001</v>
      </c>
      <c r="G28" s="13">
        <f>PRODUCT(F$17:F28)</f>
        <v>0.99318122419148025</v>
      </c>
      <c r="H28" s="13">
        <f>Table1[[#This Row],[one-year conditional survival AT ISSUE]]*(1-Table1[[#This Row],[Lapse rate]])</f>
        <v>0.95836706000000005</v>
      </c>
      <c r="I28" s="13">
        <f>PRODUCT(H$17:H28)</f>
        <v>0.54690393078668564</v>
      </c>
      <c r="J28" s="13">
        <f>G27*Table1[[#This Row],[one-year conditional mortality AT ISSUE]]</f>
        <v>6.5593252343184205E-4</v>
      </c>
      <c r="K28" s="10">
        <f>I27*Table1[[#This Row],[one-year conditional mortality AT ISSUE]]</f>
        <v>3.7663710428362653E-4</v>
      </c>
      <c r="L28" s="3">
        <f t="shared" si="0"/>
        <v>1.9910109748700498E-3</v>
      </c>
      <c r="M28" s="44">
        <f>Table1[[#This Row],[Death benefit pay probability]]/Table1[[#This Row],[unconditional persistency AT ISSUE]]</f>
        <v>6.8867141573083709E-4</v>
      </c>
      <c r="N28" s="44">
        <f>Table1[[#This Row],[one-year conditional mortality AT ISSUE]]/Table1[[#This Row],[one-year conditional persistency AT ISSUE]]</f>
        <v>6.8867141573083698E-4</v>
      </c>
      <c r="O28" s="4">
        <f>(1+$B$14)^(Table1[[#This Row],[age since issue]]-$A$17)</f>
        <v>1.4599697172428603</v>
      </c>
      <c r="P28" s="5">
        <f>(Table1[[#This Row],[level premium unmarked-up]]*Table1[[#This Row],[unconditional persistency AT ISSUE]]-Table1[[#This Row],[Death benefit pay probability]])</f>
        <v>7.1225462411223471E-4</v>
      </c>
      <c r="Q28" s="4">
        <f>Table1[[#This Row],[Issuer profit with unmarked-up level premium]]/Table1[[#This Row],[Issuer discounter at issue]]</f>
        <v>4.8785575186951216E-4</v>
      </c>
      <c r="R28" s="4">
        <f>(Table1[[#This Row],[variable premium unmarked up]]*Table1[[#This Row],[unconditional persistency AT ISSUE]]-Table1[[#This Row],[Death benefit pay probability]])</f>
        <v>0</v>
      </c>
      <c r="S28" s="6">
        <f>Table1[[#This Row],[level premium unmarked-up]]*(1+$B$15)</f>
        <v>1.9910109748700498E-3</v>
      </c>
      <c r="T28" s="6">
        <f>MIN(Table1[[#This Row],[variable premium unmarked up]]*(1+$B$15),1)</f>
        <v>6.8867141573083709E-4</v>
      </c>
      <c r="U28" s="6">
        <f>Table1[[#This Row],[level premium marked up]]-Table1[[#This Row],[variable premium marked up]]</f>
        <v>1.3023395591392128E-3</v>
      </c>
      <c r="V28" s="6">
        <f>Table1[[#This Row],[additional cash]]+V27*(1+$D$2)</f>
        <v>1.6764538348853011E-2</v>
      </c>
      <c r="W28" s="12">
        <v>4.2999999999999999E-4</v>
      </c>
      <c r="X28" s="13">
        <f>1-Table1[[#This Row],[one-year conditional mortality NOW]]</f>
        <v>0.99956999999999996</v>
      </c>
      <c r="Y28" s="49">
        <f>PRODUCT(X$17:X28)</f>
        <v>0.99786183011734331</v>
      </c>
      <c r="Z28" s="13">
        <f>Table1[[#This Row],[one-year conditional survival NOW]]*(1-Table1[[#This Row],[Lapse rate]])</f>
        <v>0.95858763000000002</v>
      </c>
      <c r="AA28" s="13">
        <f>PRODUCT(Z$17:Z28)</f>
        <v>0.80350737230049463</v>
      </c>
      <c r="AB28" s="50">
        <f>Y27*Table1[[#This Row],[one-year conditional mortality NOW]]</f>
        <v>4.2926517097397642E-4</v>
      </c>
      <c r="AC28" s="14">
        <v>4.6999999999999898E-3</v>
      </c>
      <c r="AD28" s="28">
        <f>(1+Table1[[#This Row],[Yield curve now]])^(Table1[[#This Row],[age since issue]]-$A$23)</f>
        <v>1.0237219406721338</v>
      </c>
      <c r="AE28" s="46">
        <f t="shared" si="1"/>
        <v>1.1857707956700252E-2</v>
      </c>
      <c r="AF28" s="42">
        <f>1-Table1[[#This Row],[cumulative debt until t]]</f>
        <v>0.98814229204329973</v>
      </c>
      <c r="AG28" s="46">
        <f>Table1[[#This Row],[cumulative debt until t]]*Table1[[#This Row],[Unconditional mortality NOW]]/Table1[[#This Row],[discouter with yield curve]]</f>
        <v>4.9721519400575349E-6</v>
      </c>
      <c r="AH28" s="48">
        <f>Table1[[#This Row],[Unconditional mortality NOW]]/Table1[[#This Row],[discouter with yield curve]]</f>
        <v>4.193181311442231E-4</v>
      </c>
      <c r="AI28" s="29">
        <f>Table1[[#This Row],[user profit (death benefit - debt)]]*Table1[[#This Row],[Unconditional mortality NOW]]/Table1[[#This Row],[discouter with yield curve]]</f>
        <v>4.1434597920416555E-4</v>
      </c>
      <c r="AJ28" s="29">
        <f>(1+$D$4)^(Table1[[#This Row],[age since issue]]-$A$23)</f>
        <v>2.0113571874999994</v>
      </c>
      <c r="AK28" s="57">
        <f>Table1[[#This Row],[level premium marked up]]*Table1[[#This Row],[unconditional survival NOW]]</f>
        <v>1.9867538551675435E-3</v>
      </c>
      <c r="AL28" s="62">
        <f>Table1[[#This Row],[cumulative debt until t]]*Table1[[#This Row],[Unconditional mortality NOW]]</f>
        <v>5.0901010333924147E-6</v>
      </c>
      <c r="AM28" s="47">
        <f>Table1[[#This Row],[probablistic premium stream]]/Table1[[#This Row],[lender discounter]]</f>
        <v>9.8776779555349078E-4</v>
      </c>
      <c r="AN28" s="58">
        <f>Table1[[#This Row],[probablistic repay from borrower]]/Table1[[#This Row],[lender discounter]]</f>
        <v>2.5306798141204926E-6</v>
      </c>
      <c r="AO28" s="47">
        <f>(Table1[[#This Row],[probablistic repay from borrower]]-Table1[[#This Row],[probablistic premium stream]])/Table1[[#This Row],[lender discounter]]</f>
        <v>-9.8523711573937026E-4</v>
      </c>
      <c r="AP28" s="46">
        <f>AP27*(1+$D$4)+ Table1[[#This Row],[level premium marked up]]</f>
        <v>1.7428789300204299E-2</v>
      </c>
      <c r="AQ28" s="58">
        <f>AP28*Table1[[#This Row],[Unconditional mortality NOW]]</f>
        <v>7.4815722188216096E-6</v>
      </c>
      <c r="AR28" s="60">
        <f>Table1[[#This Row],[cumulative debt until t]]*Table1[[#This Row],[Unconditional mortality NOW]]</f>
        <v>5.0901010333924147E-6</v>
      </c>
      <c r="AS28" s="58">
        <f>Table1[[#This Row],[lender to pay cumulative probablistic undiscounted]]/Table1[[#This Row],[lender discounter]]</f>
        <v>3.7196636506521106E-6</v>
      </c>
    </row>
    <row r="29" spans="1:45" s="3" customFormat="1">
      <c r="A29" s="3">
        <v>33</v>
      </c>
      <c r="B29" s="8">
        <v>4.0999999999999898E-2</v>
      </c>
      <c r="C29" s="3">
        <v>0</v>
      </c>
      <c r="D29" s="8">
        <v>4.0999999999999898E-2</v>
      </c>
      <c r="E29" s="12">
        <v>6.8999999999999997E-4</v>
      </c>
      <c r="F29" s="13">
        <f>1-Table1[[#This Row],[one-year conditional mortality AT ISSUE]]</f>
        <v>0.99931000000000003</v>
      </c>
      <c r="G29" s="13">
        <f>PRODUCT(F$17:F29)</f>
        <v>0.99249592914678819</v>
      </c>
      <c r="H29" s="13">
        <f>Table1[[#This Row],[one-year conditional survival AT ISSUE]]*(1-Table1[[#This Row],[Lapse rate]])</f>
        <v>0.95833829000000015</v>
      </c>
      <c r="I29" s="13">
        <f>PRODUCT(H$17:H29)</f>
        <v>0.52411897782439076</v>
      </c>
      <c r="J29" s="13">
        <f>G28*Table1[[#This Row],[one-year conditional mortality AT ISSUE]]</f>
        <v>6.8529504469212136E-4</v>
      </c>
      <c r="K29" s="10">
        <f>I28*Table1[[#This Row],[one-year conditional mortality AT ISSUE]]</f>
        <v>3.7736371224281309E-4</v>
      </c>
      <c r="L29" s="3">
        <f t="shared" si="0"/>
        <v>1.9910109748700498E-3</v>
      </c>
      <c r="M29" s="44">
        <f>Table1[[#This Row],[Death benefit pay probability]]/Table1[[#This Row],[unconditional persistency AT ISSUE]]</f>
        <v>7.1999627605404343E-4</v>
      </c>
      <c r="N29" s="44">
        <f>Table1[[#This Row],[one-year conditional mortality AT ISSUE]]/Table1[[#This Row],[one-year conditional persistency AT ISSUE]]</f>
        <v>7.1999627605404332E-4</v>
      </c>
      <c r="O29" s="4">
        <f>(1+$B$14)^(Table1[[#This Row],[age since issue]]-$A$17)</f>
        <v>1.5110686573463603</v>
      </c>
      <c r="P29" s="5">
        <f>(Table1[[#This Row],[level premium unmarked-up]]*Table1[[#This Row],[unconditional persistency AT ISSUE]]-Table1[[#This Row],[Death benefit pay probability]])</f>
        <v>6.6616292474322132E-4</v>
      </c>
      <c r="Q29" s="4">
        <f>Table1[[#This Row],[Issuer profit with unmarked-up level premium]]/Table1[[#This Row],[Issuer discounter at issue]]</f>
        <v>4.408554975345018E-4</v>
      </c>
      <c r="R29" s="4">
        <f>(Table1[[#This Row],[variable premium unmarked up]]*Table1[[#This Row],[unconditional persistency AT ISSUE]]-Table1[[#This Row],[Death benefit pay probability]])</f>
        <v>0</v>
      </c>
      <c r="S29" s="6">
        <f>Table1[[#This Row],[level premium unmarked-up]]*(1+$B$15)</f>
        <v>1.9910109748700498E-3</v>
      </c>
      <c r="T29" s="6">
        <f>MIN(Table1[[#This Row],[variable premium unmarked up]]*(1+$B$15),1)</f>
        <v>7.1999627605404343E-4</v>
      </c>
      <c r="U29" s="6">
        <f>Table1[[#This Row],[level premium marked up]]-Table1[[#This Row],[variable premium marked up]]</f>
        <v>1.2710146988160064E-3</v>
      </c>
      <c r="V29" s="6">
        <f>Table1[[#This Row],[additional cash]]+V28*(1+$D$2)</f>
        <v>1.8052317586017868E-2</v>
      </c>
      <c r="W29" s="12">
        <v>4.4999999999999999E-4</v>
      </c>
      <c r="X29" s="13">
        <f>1-Table1[[#This Row],[one-year conditional mortality NOW]]</f>
        <v>0.99955000000000005</v>
      </c>
      <c r="Y29" s="49">
        <f>PRODUCT(X$17:X29)</f>
        <v>0.99741279229379054</v>
      </c>
      <c r="Z29" s="13">
        <f>Table1[[#This Row],[one-year conditional survival NOW]]*(1-Table1[[#This Row],[Lapse rate]])</f>
        <v>0.95856845000000013</v>
      </c>
      <c r="AA29" s="13">
        <f>PRODUCT(Z$17:Z29)</f>
        <v>0.77021681642965822</v>
      </c>
      <c r="AB29" s="50">
        <f>Y28*Table1[[#This Row],[one-year conditional mortality NOW]]</f>
        <v>4.4903782355280446E-4</v>
      </c>
      <c r="AC29" s="14">
        <v>6.4999999999999997E-3</v>
      </c>
      <c r="AD29" s="28">
        <f>(1+Table1[[#This Row],[Yield curve now]])^(Table1[[#This Row],[age since issue]]-$A$23)</f>
        <v>1.0396392693456298</v>
      </c>
      <c r="AE29" s="46">
        <f t="shared" si="1"/>
        <v>1.466409177990848E-2</v>
      </c>
      <c r="AF29" s="42">
        <f>1-Table1[[#This Row],[cumulative debt until t]]</f>
        <v>0.98533590822009154</v>
      </c>
      <c r="AG29" s="46">
        <f>Table1[[#This Row],[cumulative debt until t]]*Table1[[#This Row],[Unconditional mortality NOW]]/Table1[[#This Row],[discouter with yield curve]]</f>
        <v>6.3336698135433451E-6</v>
      </c>
      <c r="AH29" s="48">
        <f>Table1[[#This Row],[Unconditional mortality NOW]]/Table1[[#This Row],[discouter with yield curve]]</f>
        <v>4.3191695118965451E-4</v>
      </c>
      <c r="AI29" s="29">
        <f>Table1[[#This Row],[user profit (death benefit - debt)]]*Table1[[#This Row],[Unconditional mortality NOW]]/Table1[[#This Row],[discouter with yield curve]]</f>
        <v>4.2558328137611121E-4</v>
      </c>
      <c r="AJ29" s="29">
        <f>(1+$D$4)^(Table1[[#This Row],[age since issue]]-$A$23)</f>
        <v>2.3130607656249991</v>
      </c>
      <c r="AK29" s="57">
        <f>Table1[[#This Row],[level premium marked up]]*Table1[[#This Row],[unconditional survival NOW]]</f>
        <v>1.9858598159327185E-3</v>
      </c>
      <c r="AL29" s="62">
        <f>Table1[[#This Row],[cumulative debt until t]]*Table1[[#This Row],[Unconditional mortality NOW]]</f>
        <v>6.5847318572286748E-6</v>
      </c>
      <c r="AM29" s="47">
        <f>Table1[[#This Row],[probablistic premium stream]]/Table1[[#This Row],[lender discounter]]</f>
        <v>8.5854200003955821E-4</v>
      </c>
      <c r="AN29" s="58">
        <f>Table1[[#This Row],[probablistic repay from borrower]]/Table1[[#This Row],[lender discounter]]</f>
        <v>2.846761293557911E-6</v>
      </c>
      <c r="AO29" s="47">
        <f>(Table1[[#This Row],[probablistic repay from borrower]]-Table1[[#This Row],[probablistic premium stream]])/Table1[[#This Row],[lender discounter]]</f>
        <v>-8.5569523874600036E-4</v>
      </c>
      <c r="AP29" s="46">
        <f>AP28*(1+$D$4)+ Table1[[#This Row],[level premium marked up]]</f>
        <v>2.2034118670104994E-2</v>
      </c>
      <c r="AQ29" s="58">
        <f>AP29*Table1[[#This Row],[Unconditional mortality NOW]]</f>
        <v>9.8941526915281603E-6</v>
      </c>
      <c r="AR29" s="60">
        <f>Table1[[#This Row],[cumulative debt until t]]*Table1[[#This Row],[Unconditional mortality NOW]]</f>
        <v>6.5847318572286748E-6</v>
      </c>
      <c r="AS29" s="58">
        <f>Table1[[#This Row],[lender to pay cumulative probablistic undiscounted]]/Table1[[#This Row],[lender discounter]]</f>
        <v>4.277515246710225E-6</v>
      </c>
    </row>
    <row r="30" spans="1:45" s="3" customFormat="1">
      <c r="A30" s="3">
        <v>34</v>
      </c>
      <c r="B30" s="8">
        <v>0.04</v>
      </c>
      <c r="C30" s="3">
        <v>0</v>
      </c>
      <c r="D30" s="8">
        <v>0.04</v>
      </c>
      <c r="E30" s="12">
        <v>7.2000000000000005E-4</v>
      </c>
      <c r="F30" s="13">
        <f>1-Table1[[#This Row],[one-year conditional mortality AT ISSUE]]</f>
        <v>0.99927999999999995</v>
      </c>
      <c r="G30" s="13">
        <f>PRODUCT(F$17:F30)</f>
        <v>0.9917813320778025</v>
      </c>
      <c r="H30" s="13">
        <f>Table1[[#This Row],[one-year conditional survival AT ISSUE]]*(1-Table1[[#This Row],[Lapse rate]])</f>
        <v>0.95930879999999996</v>
      </c>
      <c r="I30" s="13">
        <f>PRODUCT(H$17:H30)</f>
        <v>0.50279194767394286</v>
      </c>
      <c r="J30" s="13">
        <f>G29*Table1[[#This Row],[one-year conditional mortality AT ISSUE]]</f>
        <v>7.1459706898568758E-4</v>
      </c>
      <c r="K30" s="10">
        <f>I29*Table1[[#This Row],[one-year conditional mortality AT ISSUE]]</f>
        <v>3.7736566403356138E-4</v>
      </c>
      <c r="L30" s="3">
        <f t="shared" si="0"/>
        <v>1.9910109748700498E-3</v>
      </c>
      <c r="M30" s="44">
        <f>Table1[[#This Row],[Death benefit pay probability]]/Table1[[#This Row],[unconditional persistency AT ISSUE]]</f>
        <v>7.5054038908013785E-4</v>
      </c>
      <c r="N30" s="44">
        <f>Table1[[#This Row],[one-year conditional mortality AT ISSUE]]/Table1[[#This Row],[one-year conditional persistency AT ISSUE]]</f>
        <v>7.5054038908013774E-4</v>
      </c>
      <c r="O30" s="4">
        <f>(1+$B$14)^(Table1[[#This Row],[age since issue]]-$A$17)</f>
        <v>1.5639560603534826</v>
      </c>
      <c r="P30" s="5">
        <f>(Table1[[#This Row],[level premium unmarked-up]]*Table1[[#This Row],[unconditional persistency AT ISSUE]]-Table1[[#This Row],[Death benefit pay probability]])</f>
        <v>6.2369862186154664E-4</v>
      </c>
      <c r="Q30" s="4">
        <f>Table1[[#This Row],[Issuer profit with unmarked-up level premium]]/Table1[[#This Row],[Issuer discounter at issue]]</f>
        <v>3.9879548899895523E-4</v>
      </c>
      <c r="R30" s="4">
        <f>(Table1[[#This Row],[variable premium unmarked up]]*Table1[[#This Row],[unconditional persistency AT ISSUE]]-Table1[[#This Row],[Death benefit pay probability]])</f>
        <v>0</v>
      </c>
      <c r="S30" s="6">
        <f>Table1[[#This Row],[level premium unmarked-up]]*(1+$B$15)</f>
        <v>1.9910109748700498E-3</v>
      </c>
      <c r="T30" s="6">
        <f>MIN(Table1[[#This Row],[variable premium unmarked up]]*(1+$B$15),1)</f>
        <v>7.5054038908013785E-4</v>
      </c>
      <c r="U30" s="6">
        <f>Table1[[#This Row],[level premium marked up]]-Table1[[#This Row],[variable premium marked up]]</f>
        <v>1.2404705857899118E-3</v>
      </c>
      <c r="V30" s="6">
        <f>Table1[[#This Row],[additional cash]]+V29*(1+$D$2)</f>
        <v>1.9310840489393799E-2</v>
      </c>
      <c r="W30" s="12">
        <v>4.6999999999999999E-4</v>
      </c>
      <c r="X30" s="13">
        <f>1-Table1[[#This Row],[one-year conditional mortality NOW]]</f>
        <v>0.99953000000000003</v>
      </c>
      <c r="Y30" s="49">
        <f>PRODUCT(X$17:X30)</f>
        <v>0.9969440082814125</v>
      </c>
      <c r="Z30" s="13">
        <f>Table1[[#This Row],[one-year conditional survival NOW]]*(1-Table1[[#This Row],[Lapse rate]])</f>
        <v>0.95954879999999998</v>
      </c>
      <c r="AA30" s="13">
        <f>PRODUCT(Z$17:Z30)</f>
        <v>0.73906062194489885</v>
      </c>
      <c r="AB30" s="50">
        <f>Y29*Table1[[#This Row],[one-year conditional mortality NOW]]</f>
        <v>4.6878401237808155E-4</v>
      </c>
      <c r="AC30" s="14">
        <v>8.3000000000000001E-3</v>
      </c>
      <c r="AD30" s="28">
        <f>(1+Table1[[#This Row],[Yield curve now]])^(Table1[[#This Row],[age since issue]]-$A$23)</f>
        <v>1.0595668694786133</v>
      </c>
      <c r="AE30" s="46">
        <f t="shared" si="1"/>
        <v>1.7635707433061861E-2</v>
      </c>
      <c r="AF30" s="42">
        <f>1-Table1[[#This Row],[cumulative debt until t]]</f>
        <v>0.98236429256693814</v>
      </c>
      <c r="AG30" s="46">
        <f>Table1[[#This Row],[cumulative debt until t]]*Table1[[#This Row],[Unconditional mortality NOW]]/Table1[[#This Row],[discouter with yield curve]]</f>
        <v>7.8025634150535956E-6</v>
      </c>
      <c r="AH30" s="48">
        <f>Table1[[#This Row],[Unconditional mortality NOW]]/Table1[[#This Row],[discouter with yield curve]]</f>
        <v>4.4242985117943389E-4</v>
      </c>
      <c r="AI30" s="29">
        <f>Table1[[#This Row],[user profit (death benefit - debt)]]*Table1[[#This Row],[Unconditional mortality NOW]]/Table1[[#This Row],[discouter with yield curve]]</f>
        <v>4.3462728776438029E-4</v>
      </c>
      <c r="AJ30" s="29">
        <f>(1+$D$4)^(Table1[[#This Row],[age since issue]]-$A$23)</f>
        <v>2.6600198804687483</v>
      </c>
      <c r="AK30" s="57">
        <f>Table1[[#This Row],[level premium marked up]]*Table1[[#This Row],[unconditional survival NOW]]</f>
        <v>1.9849264618192301E-3</v>
      </c>
      <c r="AL30" s="62">
        <f>Table1[[#This Row],[cumulative debt until t]]*Table1[[#This Row],[Unconditional mortality NOW]]</f>
        <v>8.2673376915966967E-6</v>
      </c>
      <c r="AM30" s="47">
        <f>Table1[[#This Row],[probablistic premium stream]]/Table1[[#This Row],[lender discounter]]</f>
        <v>7.4620737852133898E-4</v>
      </c>
      <c r="AN30" s="58">
        <f>Table1[[#This Row],[probablistic repay from borrower]]/Table1[[#This Row],[lender discounter]]</f>
        <v>3.1079984598234763E-6</v>
      </c>
      <c r="AO30" s="47">
        <f>(Table1[[#This Row],[probablistic repay from borrower]]-Table1[[#This Row],[probablistic premium stream]])/Table1[[#This Row],[lender discounter]]</f>
        <v>-7.4309938006151557E-4</v>
      </c>
      <c r="AP30" s="46">
        <f>AP29*(1+$D$4)+ Table1[[#This Row],[level premium marked up]]</f>
        <v>2.7330247445490792E-2</v>
      </c>
      <c r="AQ30" s="58">
        <f>AP30*Table1[[#This Row],[Unconditional mortality NOW]]</f>
        <v>1.2811983056782987E-5</v>
      </c>
      <c r="AR30" s="60">
        <f>Table1[[#This Row],[cumulative debt until t]]*Table1[[#This Row],[Unconditional mortality NOW]]</f>
        <v>8.2673376915966967E-6</v>
      </c>
      <c r="AS30" s="58">
        <f>Table1[[#This Row],[lender to pay cumulative probablistic undiscounted]]/Table1[[#This Row],[lender discounter]]</f>
        <v>4.8164989859118127E-6</v>
      </c>
    </row>
    <row r="31" spans="1:45" s="3" customFormat="1">
      <c r="A31" s="3">
        <v>35</v>
      </c>
      <c r="B31" s="8">
        <v>0.04</v>
      </c>
      <c r="C31" s="3">
        <v>0</v>
      </c>
      <c r="D31" s="8">
        <v>0.04</v>
      </c>
      <c r="E31" s="12">
        <v>7.6999999999999996E-4</v>
      </c>
      <c r="F31" s="13">
        <f>1-Table1[[#This Row],[one-year conditional mortality AT ISSUE]]</f>
        <v>0.99922999999999995</v>
      </c>
      <c r="G31" s="13">
        <f>PRODUCT(F$17:F31)</f>
        <v>0.9910176604521026</v>
      </c>
      <c r="H31" s="13">
        <f>Table1[[#This Row],[one-year conditional survival AT ISSUE]]*(1-Table1[[#This Row],[Lapse rate]])</f>
        <v>0.95926079999999991</v>
      </c>
      <c r="I31" s="13">
        <f>PRODUCT(H$17:H31)</f>
        <v>0.4823086059592645</v>
      </c>
      <c r="J31" s="13">
        <f>G30*Table1[[#This Row],[one-year conditional mortality AT ISSUE]]</f>
        <v>7.6367162569990785E-4</v>
      </c>
      <c r="K31" s="10">
        <f>I30*Table1[[#This Row],[one-year conditional mortality AT ISSUE]]</f>
        <v>3.87149799708936E-4</v>
      </c>
      <c r="L31" s="3">
        <f t="shared" si="0"/>
        <v>1.9910109748700498E-3</v>
      </c>
      <c r="M31" s="44">
        <f>Table1[[#This Row],[Death benefit pay probability]]/Table1[[#This Row],[unconditional persistency AT ISSUE]]</f>
        <v>8.0270141342166817E-4</v>
      </c>
      <c r="N31" s="44">
        <f>Table1[[#This Row],[one-year conditional mortality AT ISSUE]]/Table1[[#This Row],[one-year conditional persistency AT ISSUE]]</f>
        <v>8.0270141342166806E-4</v>
      </c>
      <c r="O31" s="4">
        <f>(1+$B$14)^(Table1[[#This Row],[age since issue]]-$A$17)</f>
        <v>1.6186945224658547</v>
      </c>
      <c r="P31" s="5">
        <f>(Table1[[#This Row],[level premium unmarked-up]]*Table1[[#This Row],[unconditional persistency AT ISSUE]]-Table1[[#This Row],[Death benefit pay probability]])</f>
        <v>5.7313192803023398E-4</v>
      </c>
      <c r="Q31" s="4">
        <f>Table1[[#This Row],[Issuer profit with unmarked-up level premium]]/Table1[[#This Row],[Issuer discounter at issue]]</f>
        <v>3.5407046856323926E-4</v>
      </c>
      <c r="R31" s="4">
        <f>(Table1[[#This Row],[variable premium unmarked up]]*Table1[[#This Row],[unconditional persistency AT ISSUE]]-Table1[[#This Row],[Death benefit pay probability]])</f>
        <v>0</v>
      </c>
      <c r="S31" s="6">
        <f>Table1[[#This Row],[level premium unmarked-up]]*(1+$B$15)</f>
        <v>1.9910109748700498E-3</v>
      </c>
      <c r="T31" s="6">
        <f>MIN(Table1[[#This Row],[variable premium unmarked up]]*(1+$B$15),1)</f>
        <v>8.0270141342166817E-4</v>
      </c>
      <c r="U31" s="6">
        <f>Table1[[#This Row],[level premium marked up]]-Table1[[#This Row],[variable premium marked up]]</f>
        <v>1.1883095614483815E-3</v>
      </c>
      <c r="V31" s="6">
        <f>Table1[[#This Row],[additional cash]]+V30*(1+$D$2)</f>
        <v>2.0518460891331573E-2</v>
      </c>
      <c r="W31" s="12">
        <v>5.1999999999999995E-4</v>
      </c>
      <c r="X31" s="13">
        <f>1-Table1[[#This Row],[one-year conditional mortality NOW]]</f>
        <v>0.99948000000000004</v>
      </c>
      <c r="Y31" s="49">
        <f>PRODUCT(X$17:X31)</f>
        <v>0.99642559739710623</v>
      </c>
      <c r="Z31" s="13">
        <f>Table1[[#This Row],[one-year conditional survival NOW]]*(1-Table1[[#This Row],[Lapse rate]])</f>
        <v>0.95950080000000004</v>
      </c>
      <c r="AA31" s="13">
        <f>PRODUCT(Z$17:Z31)</f>
        <v>0.709129258004628</v>
      </c>
      <c r="AB31" s="50">
        <f>Y30*Table1[[#This Row],[one-year conditional mortality NOW]]</f>
        <v>5.184108843063345E-4</v>
      </c>
      <c r="AC31" s="14">
        <v>9.4999999999999998E-3</v>
      </c>
      <c r="AD31" s="28">
        <f>(1+Table1[[#This Row],[Yield curve now]])^(Table1[[#This Row],[age since issue]]-$A$23)</f>
        <v>1.0785755875081871</v>
      </c>
      <c r="AE31" s="46">
        <f t="shared" si="1"/>
        <v>2.0782283292372253E-2</v>
      </c>
      <c r="AF31" s="42">
        <f>1-Table1[[#This Row],[cumulative debt until t]]</f>
        <v>0.97921771670762769</v>
      </c>
      <c r="AG31" s="46">
        <f>Table1[[#This Row],[cumulative debt until t]]*Table1[[#This Row],[Unconditional mortality NOW]]/Table1[[#This Row],[discouter with yield curve]]</f>
        <v>9.9888797635350544E-6</v>
      </c>
      <c r="AH31" s="48">
        <f>Table1[[#This Row],[Unconditional mortality NOW]]/Table1[[#This Row],[discouter with yield curve]]</f>
        <v>4.8064399965143791E-4</v>
      </c>
      <c r="AI31" s="29">
        <f>Table1[[#This Row],[user profit (death benefit - debt)]]*Table1[[#This Row],[Unconditional mortality NOW]]/Table1[[#This Row],[discouter with yield curve]]</f>
        <v>4.7065511988790283E-4</v>
      </c>
      <c r="AJ31" s="29">
        <f>(1+$D$4)^(Table1[[#This Row],[age since issue]]-$A$23)</f>
        <v>3.0590228625390603</v>
      </c>
      <c r="AK31" s="57">
        <f>Table1[[#This Row],[level premium marked up]]*Table1[[#This Row],[unconditional survival NOW]]</f>
        <v>1.9838943000590843E-3</v>
      </c>
      <c r="AL31" s="62">
        <f>Table1[[#This Row],[cumulative debt until t]]*Table1[[#This Row],[Unconditional mortality NOW]]</f>
        <v>1.0773761859503461E-5</v>
      </c>
      <c r="AM31" s="47">
        <f>Table1[[#This Row],[probablistic premium stream]]/Table1[[#This Row],[lender discounter]]</f>
        <v>6.4853856581261566E-4</v>
      </c>
      <c r="AN31" s="58">
        <f>Table1[[#This Row],[probablistic repay from borrower]]/Table1[[#This Row],[lender discounter]]</f>
        <v>3.521961862867866E-6</v>
      </c>
      <c r="AO31" s="47">
        <f>(Table1[[#This Row],[probablistic repay from borrower]]-Table1[[#This Row],[probablistic premium stream]])/Table1[[#This Row],[lender discounter]]</f>
        <v>-6.4501660394974784E-4</v>
      </c>
      <c r="AP31" s="46">
        <f>AP30*(1+$D$4)+ Table1[[#This Row],[level premium marked up]]</f>
        <v>3.3420795537184453E-2</v>
      </c>
      <c r="AQ31" s="58">
        <f>AP31*Table1[[#This Row],[Unconditional mortality NOW]]</f>
        <v>1.7325704168652991E-5</v>
      </c>
      <c r="AR31" s="60">
        <f>Table1[[#This Row],[cumulative debt until t]]*Table1[[#This Row],[Unconditional mortality NOW]]</f>
        <v>1.0773761859503461E-5</v>
      </c>
      <c r="AS31" s="58">
        <f>Table1[[#This Row],[lender to pay cumulative probablistic undiscounted]]/Table1[[#This Row],[lender discounter]]</f>
        <v>5.6638034258666027E-6</v>
      </c>
    </row>
    <row r="32" spans="1:45" s="3" customFormat="1">
      <c r="A32" s="3">
        <v>36</v>
      </c>
      <c r="B32" s="8">
        <v>4.0999999999999898E-2</v>
      </c>
      <c r="C32" s="3">
        <v>0</v>
      </c>
      <c r="D32" s="8">
        <v>4.0999999999999898E-2</v>
      </c>
      <c r="E32" s="12">
        <v>8.4000000000000003E-4</v>
      </c>
      <c r="F32" s="13">
        <f>1-Table1[[#This Row],[one-year conditional mortality AT ISSUE]]</f>
        <v>0.99916000000000005</v>
      </c>
      <c r="G32" s="13">
        <f>PRODUCT(F$17:F32)</f>
        <v>0.99018520561732293</v>
      </c>
      <c r="H32" s="13">
        <f>Table1[[#This Row],[one-year conditional survival AT ISSUE]]*(1-Table1[[#This Row],[Lapse rate]])</f>
        <v>0.95819444000000009</v>
      </c>
      <c r="I32" s="13">
        <f>PRODUCT(H$17:H32)</f>
        <v>0.46214542459431818</v>
      </c>
      <c r="J32" s="13">
        <f>G31*Table1[[#This Row],[one-year conditional mortality AT ISSUE]]</f>
        <v>8.324548347797662E-4</v>
      </c>
      <c r="K32" s="10">
        <f>I31*Table1[[#This Row],[one-year conditional mortality AT ISSUE]]</f>
        <v>4.0513922900578222E-4</v>
      </c>
      <c r="L32" s="3">
        <f t="shared" si="0"/>
        <v>1.9910109748700498E-3</v>
      </c>
      <c r="M32" s="44">
        <f>Table1[[#This Row],[Death benefit pay probability]]/Table1[[#This Row],[unconditional persistency AT ISSUE]]</f>
        <v>8.7664879374587063E-4</v>
      </c>
      <c r="N32" s="44">
        <f>Table1[[#This Row],[one-year conditional mortality AT ISSUE]]/Table1[[#This Row],[one-year conditional persistency AT ISSUE]]</f>
        <v>8.7664879374587052E-4</v>
      </c>
      <c r="O32" s="4">
        <f>(1+$B$14)^(Table1[[#This Row],[age since issue]]-$A$17)</f>
        <v>1.6753488307521593</v>
      </c>
      <c r="P32" s="5">
        <f>(Table1[[#This Row],[level premium unmarked-up]]*Table1[[#This Row],[unconditional persistency AT ISSUE]]-Table1[[#This Row],[Death benefit pay probability]])</f>
        <v>5.1499738334748429E-4</v>
      </c>
      <c r="Q32" s="4">
        <f>Table1[[#This Row],[Issuer profit with unmarked-up level premium]]/Table1[[#This Row],[Issuer discounter at issue]]</f>
        <v>3.0739710673643571E-4</v>
      </c>
      <c r="R32" s="4">
        <f>(Table1[[#This Row],[variable premium unmarked up]]*Table1[[#This Row],[unconditional persistency AT ISSUE]]-Table1[[#This Row],[Death benefit pay probability]])</f>
        <v>0</v>
      </c>
      <c r="S32" s="6">
        <f>Table1[[#This Row],[level premium unmarked-up]]*(1+$B$15)</f>
        <v>1.9910109748700498E-3</v>
      </c>
      <c r="T32" s="6">
        <f>MIN(Table1[[#This Row],[variable premium unmarked up]]*(1+$B$15),1)</f>
        <v>8.7664879374587063E-4</v>
      </c>
      <c r="U32" s="6">
        <f>Table1[[#This Row],[level premium marked up]]-Table1[[#This Row],[variable premium marked up]]</f>
        <v>1.1143621811241793E-3</v>
      </c>
      <c r="V32" s="6">
        <f>Table1[[#This Row],[additional cash]]+V31*(1+$D$2)</f>
        <v>2.1653341533347081E-2</v>
      </c>
      <c r="W32" s="12">
        <v>5.8E-4</v>
      </c>
      <c r="X32" s="13">
        <f>1-Table1[[#This Row],[one-year conditional mortality NOW]]</f>
        <v>0.99941999999999998</v>
      </c>
      <c r="Y32" s="49">
        <f>PRODUCT(X$17:X32)</f>
        <v>0.99584767055061585</v>
      </c>
      <c r="Z32" s="13">
        <f>Table1[[#This Row],[one-year conditional survival NOW]]*(1-Table1[[#This Row],[Lapse rate]])</f>
        <v>0.95844378000000008</v>
      </c>
      <c r="AA32" s="13">
        <f>PRODUCT(Z$17:Z32)</f>
        <v>0.67966052655055098</v>
      </c>
      <c r="AB32" s="50">
        <f>Y31*Table1[[#This Row],[one-year conditional mortality NOW]]</f>
        <v>5.7792684649032161E-4</v>
      </c>
      <c r="AC32" s="14">
        <v>1.0699999999999999E-2</v>
      </c>
      <c r="AD32" s="28">
        <f>(1+Table1[[#This Row],[Yield curve now]])^(Table1[[#This Row],[age since issue]]-$A$23)</f>
        <v>1.100526213013765</v>
      </c>
      <c r="AE32" s="46">
        <f t="shared" si="1"/>
        <v>2.4114120512938906E-2</v>
      </c>
      <c r="AF32" s="42">
        <f>1-Table1[[#This Row],[cumulative debt until t]]</f>
        <v>0.97588587948706107</v>
      </c>
      <c r="AG32" s="46">
        <f>Table1[[#This Row],[cumulative debt until t]]*Table1[[#This Row],[Unconditional mortality NOW]]/Table1[[#This Row],[discouter with yield curve]]</f>
        <v>1.2663212796873244E-5</v>
      </c>
      <c r="AH32" s="48">
        <f>Table1[[#This Row],[Unconditional mortality NOW]]/Table1[[#This Row],[discouter with yield curve]]</f>
        <v>5.2513682968775692E-4</v>
      </c>
      <c r="AI32" s="29">
        <f>Table1[[#This Row],[user profit (death benefit - debt)]]*Table1[[#This Row],[Unconditional mortality NOW]]/Table1[[#This Row],[discouter with yield curve]]</f>
        <v>5.124736168908837E-4</v>
      </c>
      <c r="AJ32" s="29">
        <f>(1+$D$4)^(Table1[[#This Row],[age since issue]]-$A$23)</f>
        <v>3.5178762919199191</v>
      </c>
      <c r="AK32" s="57">
        <f>Table1[[#This Row],[level premium marked up]]*Table1[[#This Row],[unconditional survival NOW]]</f>
        <v>1.98274364136505E-3</v>
      </c>
      <c r="AL32" s="62">
        <f>Table1[[#This Row],[cumulative debt until t]]*Table1[[#This Row],[Unconditional mortality NOW]]</f>
        <v>1.3936197623930358E-5</v>
      </c>
      <c r="AM32" s="47">
        <f>Table1[[#This Row],[probablistic premium stream]]/Table1[[#This Row],[lender discounter]]</f>
        <v>5.6361948995169078E-4</v>
      </c>
      <c r="AN32" s="58">
        <f>Table1[[#This Row],[probablistic repay from borrower]]/Table1[[#This Row],[lender discounter]]</f>
        <v>3.9615371512465915E-6</v>
      </c>
      <c r="AO32" s="47">
        <f>(Table1[[#This Row],[probablistic repay from borrower]]-Table1[[#This Row],[probablistic premium stream]])/Table1[[#This Row],[lender discounter]]</f>
        <v>-5.596579528004442E-4</v>
      </c>
      <c r="AP32" s="46">
        <f>AP31*(1+$D$4)+ Table1[[#This Row],[level premium marked up]]</f>
        <v>4.0424925842632166E-2</v>
      </c>
      <c r="AQ32" s="58">
        <f>AP32*Table1[[#This Row],[Unconditional mortality NOW]]</f>
        <v>2.3362649911837513E-5</v>
      </c>
      <c r="AR32" s="60">
        <f>Table1[[#This Row],[cumulative debt until t]]*Table1[[#This Row],[Unconditional mortality NOW]]</f>
        <v>1.3936197623930358E-5</v>
      </c>
      <c r="AS32" s="58">
        <f>Table1[[#This Row],[lender to pay cumulative probablistic undiscounted]]/Table1[[#This Row],[lender discounter]]</f>
        <v>6.6411232155884294E-6</v>
      </c>
    </row>
    <row r="33" spans="1:45" s="3" customFormat="1">
      <c r="A33" s="3">
        <v>37</v>
      </c>
      <c r="B33" s="8">
        <v>4.2999999999999997E-2</v>
      </c>
      <c r="C33" s="3">
        <v>0</v>
      </c>
      <c r="D33" s="8">
        <v>4.2999999999999997E-2</v>
      </c>
      <c r="E33" s="12">
        <v>8.9999999999999998E-4</v>
      </c>
      <c r="F33" s="13">
        <f>1-Table1[[#This Row],[one-year conditional mortality AT ISSUE]]</f>
        <v>0.99909999999999999</v>
      </c>
      <c r="G33" s="13">
        <f>PRODUCT(F$17:F33)</f>
        <v>0.98929403893226731</v>
      </c>
      <c r="H33" s="13">
        <f>Table1[[#This Row],[one-year conditional survival AT ISSUE]]*(1-Table1[[#This Row],[Lapse rate]])</f>
        <v>0.9561386999999999</v>
      </c>
      <c r="I33" s="13">
        <f>PRODUCT(H$17:H33)</f>
        <v>0.44187512548255936</v>
      </c>
      <c r="J33" s="13">
        <f>G32*Table1[[#This Row],[one-year conditional mortality AT ISSUE]]</f>
        <v>8.9116668505559058E-4</v>
      </c>
      <c r="K33" s="10">
        <f>I32*Table1[[#This Row],[one-year conditional mortality AT ISSUE]]</f>
        <v>4.1593088213488636E-4</v>
      </c>
      <c r="L33" s="3">
        <f t="shared" si="0"/>
        <v>1.9910109748700498E-3</v>
      </c>
      <c r="M33" s="44">
        <f>Table1[[#This Row],[Death benefit pay probability]]/Table1[[#This Row],[unconditional persistency AT ISSUE]]</f>
        <v>9.4128602889936375E-4</v>
      </c>
      <c r="N33" s="44">
        <f>Table1[[#This Row],[one-year conditional mortality AT ISSUE]]/Table1[[#This Row],[one-year conditional persistency AT ISSUE]]</f>
        <v>9.4128602889936375E-4</v>
      </c>
      <c r="O33" s="4">
        <f>(1+$B$14)^(Table1[[#This Row],[age since issue]]-$A$17)</f>
        <v>1.7339860398284845</v>
      </c>
      <c r="P33" s="5">
        <f>(Table1[[#This Row],[level premium unmarked-up]]*Table1[[#This Row],[unconditional persistency AT ISSUE]]-Table1[[#This Row],[Death benefit pay probability]])</f>
        <v>4.6384734222296972E-4</v>
      </c>
      <c r="Q33" s="4">
        <f>Table1[[#This Row],[Issuer profit with unmarked-up level premium]]/Table1[[#This Row],[Issuer discounter at issue]]</f>
        <v>2.675035043931788E-4</v>
      </c>
      <c r="R33" s="4">
        <f>(Table1[[#This Row],[variable premium unmarked up]]*Table1[[#This Row],[unconditional persistency AT ISSUE]]-Table1[[#This Row],[Death benefit pay probability]])</f>
        <v>0</v>
      </c>
      <c r="S33" s="6">
        <f>Table1[[#This Row],[level premium unmarked-up]]*(1+$B$15)</f>
        <v>1.9910109748700498E-3</v>
      </c>
      <c r="T33" s="6">
        <f>MIN(Table1[[#This Row],[variable premium unmarked up]]*(1+$B$15),1)</f>
        <v>9.4128602889936375E-4</v>
      </c>
      <c r="U33" s="6">
        <f>Table1[[#This Row],[level premium marked up]]-Table1[[#This Row],[variable premium marked up]]</f>
        <v>1.049724945970686E-3</v>
      </c>
      <c r="V33" s="6">
        <f>Table1[[#This Row],[additional cash]]+V32*(1+$D$2)</f>
        <v>2.272471982085111E-2</v>
      </c>
      <c r="W33" s="12">
        <v>6.3000000000000003E-4</v>
      </c>
      <c r="X33" s="13">
        <f>1-Table1[[#This Row],[one-year conditional mortality NOW]]</f>
        <v>0.99936999999999998</v>
      </c>
      <c r="Y33" s="49">
        <f>PRODUCT(X$17:X33)</f>
        <v>0.99522028651816896</v>
      </c>
      <c r="Z33" s="13">
        <f>Table1[[#This Row],[one-year conditional survival NOW]]*(1-Table1[[#This Row],[Lapse rate]])</f>
        <v>0.95639708999999995</v>
      </c>
      <c r="AA33" s="13">
        <f>PRODUCT(Z$17:Z33)</f>
        <v>0.65002534978081461</v>
      </c>
      <c r="AB33" s="50">
        <f>Y32*Table1[[#This Row],[one-year conditional mortality NOW]]</f>
        <v>6.2738403244688799E-4</v>
      </c>
      <c r="AC33" s="14">
        <v>1.18999999999999E-2</v>
      </c>
      <c r="AD33" s="28">
        <f>(1+Table1[[#This Row],[Yield curve now]])^(Table1[[#This Row],[age since issue]]-$A$23)</f>
        <v>1.1255789410288743</v>
      </c>
      <c r="AE33" s="46">
        <f t="shared" si="1"/>
        <v>2.7642126752326461E-2</v>
      </c>
      <c r="AF33" s="42">
        <f>1-Table1[[#This Row],[cumulative debt until t]]</f>
        <v>0.97235787324767353</v>
      </c>
      <c r="AG33" s="46">
        <f>Table1[[#This Row],[cumulative debt until t]]*Table1[[#This Row],[Unconditional mortality NOW]]/Table1[[#This Row],[discouter with yield curve]]</f>
        <v>1.5407385759572147E-5</v>
      </c>
      <c r="AH33" s="48">
        <f>Table1[[#This Row],[Unconditional mortality NOW]]/Table1[[#This Row],[discouter with yield curve]]</f>
        <v>5.5738785577616251E-4</v>
      </c>
      <c r="AI33" s="29">
        <f>Table1[[#This Row],[user profit (death benefit - debt)]]*Table1[[#This Row],[Unconditional mortality NOW]]/Table1[[#This Row],[discouter with yield curve]]</f>
        <v>5.4198047001659038E-4</v>
      </c>
      <c r="AJ33" s="29">
        <f>(1+$D$4)^(Table1[[#This Row],[age since issue]]-$A$23)</f>
        <v>4.0455577357079067</v>
      </c>
      <c r="AK33" s="57">
        <f>Table1[[#This Row],[level premium marked up]]*Table1[[#This Row],[unconditional survival NOW]]</f>
        <v>1.9814945128709899E-3</v>
      </c>
      <c r="AL33" s="62">
        <f>Table1[[#This Row],[cumulative debt until t]]*Table1[[#This Row],[Unconditional mortality NOW]]</f>
        <v>1.7342228947282574E-5</v>
      </c>
      <c r="AM33" s="47">
        <f>Table1[[#This Row],[probablistic premium stream]]/Table1[[#This Row],[lender discounter]]</f>
        <v>4.8979513884610541E-4</v>
      </c>
      <c r="AN33" s="58">
        <f>Table1[[#This Row],[probablistic repay from borrower]]/Table1[[#This Row],[lender discounter]]</f>
        <v>4.2867337658321586E-6</v>
      </c>
      <c r="AO33" s="47">
        <f>(Table1[[#This Row],[probablistic repay from borrower]]-Table1[[#This Row],[probablistic premium stream]])/Table1[[#This Row],[lender discounter]]</f>
        <v>-4.8550840508027325E-4</v>
      </c>
      <c r="AP33" s="46">
        <f>AP32*(1+$D$4)+ Table1[[#This Row],[level premium marked up]]</f>
        <v>4.8479675693897037E-2</v>
      </c>
      <c r="AQ33" s="58">
        <f>AP33*Table1[[#This Row],[Unconditional mortality NOW]]</f>
        <v>3.0415374428554506E-5</v>
      </c>
      <c r="AR33" s="60">
        <f>Table1[[#This Row],[cumulative debt until t]]*Table1[[#This Row],[Unconditional mortality NOW]]</f>
        <v>1.7342228947282574E-5</v>
      </c>
      <c r="AS33" s="58">
        <f>Table1[[#This Row],[lender to pay cumulative probablistic undiscounted]]/Table1[[#This Row],[lender discounter]]</f>
        <v>7.5182153897087592E-6</v>
      </c>
    </row>
    <row r="34" spans="1:45" s="3" customFormat="1">
      <c r="A34" s="3">
        <v>38</v>
      </c>
      <c r="B34" s="8">
        <v>4.2999999999999997E-2</v>
      </c>
      <c r="C34" s="3">
        <v>0</v>
      </c>
      <c r="D34" s="8">
        <v>4.2999999999999997E-2</v>
      </c>
      <c r="E34" s="12">
        <v>9.5E-4</v>
      </c>
      <c r="F34" s="13">
        <f>1-Table1[[#This Row],[one-year conditional mortality AT ISSUE]]</f>
        <v>0.99904999999999999</v>
      </c>
      <c r="G34" s="13">
        <f>PRODUCT(F$17:F34)</f>
        <v>0.98835420959528164</v>
      </c>
      <c r="H34" s="13">
        <f>Table1[[#This Row],[one-year conditional survival AT ISSUE]]*(1-Table1[[#This Row],[Lapse rate]])</f>
        <v>0.95609084999999994</v>
      </c>
      <c r="I34" s="13">
        <f>PRODUCT(H$17:H34)</f>
        <v>0.42247276431647679</v>
      </c>
      <c r="J34" s="13">
        <f>G33*Table1[[#This Row],[one-year conditional mortality AT ISSUE]]</f>
        <v>9.3982933698565389E-4</v>
      </c>
      <c r="K34" s="10">
        <f>I33*Table1[[#This Row],[one-year conditional mortality AT ISSUE]]</f>
        <v>4.1978136920843139E-4</v>
      </c>
      <c r="L34" s="3">
        <f t="shared" si="0"/>
        <v>1.9910109748700498E-3</v>
      </c>
      <c r="M34" s="44">
        <f>Table1[[#This Row],[Death benefit pay probability]]/Table1[[#This Row],[unconditional persistency AT ISSUE]]</f>
        <v>9.9362942339632277E-4</v>
      </c>
      <c r="N34" s="44">
        <f>Table1[[#This Row],[one-year conditional mortality AT ISSUE]]/Table1[[#This Row],[one-year conditional persistency AT ISSUE]]</f>
        <v>9.9362942339632277E-4</v>
      </c>
      <c r="O34" s="4">
        <f>(1+$B$14)^(Table1[[#This Row],[age since issue]]-$A$17)</f>
        <v>1.7946755512224815</v>
      </c>
      <c r="P34" s="5">
        <f>(Table1[[#This Row],[level premium unmarked-up]]*Table1[[#This Row],[unconditional persistency AT ISSUE]]-Table1[[#This Row],[Death benefit pay probability]])</f>
        <v>4.2136654112936181E-4</v>
      </c>
      <c r="Q34" s="4">
        <f>Table1[[#This Row],[Issuer profit with unmarked-up level premium]]/Table1[[#This Row],[Issuer discounter at issue]]</f>
        <v>2.3478702924455567E-4</v>
      </c>
      <c r="R34" s="4">
        <f>(Table1[[#This Row],[variable premium unmarked up]]*Table1[[#This Row],[unconditional persistency AT ISSUE]]-Table1[[#This Row],[Death benefit pay probability]])</f>
        <v>0</v>
      </c>
      <c r="S34" s="6">
        <f>Table1[[#This Row],[level premium unmarked-up]]*(1+$B$15)</f>
        <v>1.9910109748700498E-3</v>
      </c>
      <c r="T34" s="6">
        <f>MIN(Table1[[#This Row],[variable premium unmarked up]]*(1+$B$15),1)</f>
        <v>9.9362942339632277E-4</v>
      </c>
      <c r="U34" s="6">
        <f>Table1[[#This Row],[level premium marked up]]-Table1[[#This Row],[variable premium marked up]]</f>
        <v>9.9738155147372702E-4</v>
      </c>
      <c r="V34" s="6">
        <f>Table1[[#This Row],[additional cash]]+V33*(1+$D$2)</f>
        <v>2.3744826092145684E-2</v>
      </c>
      <c r="W34" s="12">
        <v>7.2000000000000005E-4</v>
      </c>
      <c r="X34" s="13">
        <f>1-Table1[[#This Row],[one-year conditional mortality NOW]]</f>
        <v>0.99927999999999995</v>
      </c>
      <c r="Y34" s="49">
        <f>PRODUCT(X$17:X34)</f>
        <v>0.9945037279118758</v>
      </c>
      <c r="Z34" s="13">
        <f>Table1[[#This Row],[one-year conditional survival NOW]]*(1-Table1[[#This Row],[Lapse rate]])</f>
        <v>0.95631095999999993</v>
      </c>
      <c r="AA34" s="13">
        <f>PRODUCT(Z$17:Z34)</f>
        <v>0.62162636627322654</v>
      </c>
      <c r="AB34" s="50">
        <f>Y33*Table1[[#This Row],[one-year conditional mortality NOW]]</f>
        <v>7.1655860629308166E-4</v>
      </c>
      <c r="AC34" s="14">
        <v>1.24999999999999E-2</v>
      </c>
      <c r="AD34" s="28">
        <f>(1+Table1[[#This Row],[Yield curve now]])^(Table1[[#This Row],[age since issue]]-$A$23)</f>
        <v>1.1464242150350601</v>
      </c>
      <c r="AE34" s="46">
        <f t="shared" si="1"/>
        <v>3.1377851879690472E-2</v>
      </c>
      <c r="AF34" s="42">
        <f>1-Table1[[#This Row],[cumulative debt until t]]</f>
        <v>0.96862214812030956</v>
      </c>
      <c r="AG34" s="46">
        <f>Table1[[#This Row],[cumulative debt until t]]*Table1[[#This Row],[Unconditional mortality NOW]]/Table1[[#This Row],[discouter with yield curve]]</f>
        <v>1.9612347258989245E-5</v>
      </c>
      <c r="AH34" s="48">
        <f>Table1[[#This Row],[Unconditional mortality NOW]]/Table1[[#This Row],[discouter with yield curve]]</f>
        <v>6.2503791955508176E-4</v>
      </c>
      <c r="AI34" s="29">
        <f>Table1[[#This Row],[user profit (death benefit - debt)]]*Table1[[#This Row],[Unconditional mortality NOW]]/Table1[[#This Row],[discouter with yield curve]]</f>
        <v>6.054255722960925E-4</v>
      </c>
      <c r="AJ34" s="29">
        <f>(1+$D$4)^(Table1[[#This Row],[age since issue]]-$A$23)</f>
        <v>4.6523913960640924</v>
      </c>
      <c r="AK34" s="57">
        <f>Table1[[#This Row],[level premium marked up]]*Table1[[#This Row],[unconditional survival NOW]]</f>
        <v>1.9800678368217224E-3</v>
      </c>
      <c r="AL34" s="62">
        <f>Table1[[#This Row],[cumulative debt until t]]*Table1[[#This Row],[Unconditional mortality NOW]]</f>
        <v>2.2484069811381756E-5</v>
      </c>
      <c r="AM34" s="47">
        <f>Table1[[#This Row],[probablistic premium stream]]/Table1[[#This Row],[lender discounter]]</f>
        <v>4.2560216204011838E-4</v>
      </c>
      <c r="AN34" s="58">
        <f>Table1[[#This Row],[probablistic repay from borrower]]/Table1[[#This Row],[lender discounter]]</f>
        <v>4.8327984249999265E-6</v>
      </c>
      <c r="AO34" s="47">
        <f>(Table1[[#This Row],[probablistic repay from borrower]]-Table1[[#This Row],[probablistic premium stream]])/Table1[[#This Row],[lender discounter]]</f>
        <v>-4.2076936361511847E-4</v>
      </c>
      <c r="AP34" s="46">
        <f>AP33*(1+$D$4)+ Table1[[#This Row],[level premium marked up]]</f>
        <v>5.7742638022851636E-2</v>
      </c>
      <c r="AQ34" s="58">
        <f>AP34*Table1[[#This Row],[Unconditional mortality NOW]]</f>
        <v>4.1375984225340472E-5</v>
      </c>
      <c r="AR34" s="60">
        <f>Table1[[#This Row],[cumulative debt until t]]*Table1[[#This Row],[Unconditional mortality NOW]]</f>
        <v>2.2484069811381756E-5</v>
      </c>
      <c r="AS34" s="58">
        <f>Table1[[#This Row],[lender to pay cumulative probablistic undiscounted]]/Table1[[#This Row],[lender discounter]]</f>
        <v>8.893487392385863E-6</v>
      </c>
    </row>
    <row r="35" spans="1:45" s="3" customFormat="1">
      <c r="A35" s="3">
        <v>39</v>
      </c>
      <c r="B35" s="8">
        <v>4.2999999999999997E-2</v>
      </c>
      <c r="C35" s="3">
        <v>0</v>
      </c>
      <c r="D35" s="8">
        <v>4.2999999999999997E-2</v>
      </c>
      <c r="E35" s="12">
        <v>1.0200000000000001E-3</v>
      </c>
      <c r="F35" s="13">
        <f>1-Table1[[#This Row],[one-year conditional mortality AT ISSUE]]</f>
        <v>0.99897999999999998</v>
      </c>
      <c r="G35" s="13">
        <f>PRODUCT(F$17:F35)</f>
        <v>0.9873460883014944</v>
      </c>
      <c r="H35" s="13">
        <f>Table1[[#This Row],[one-year conditional survival AT ISSUE]]*(1-Table1[[#This Row],[Lapse rate]])</f>
        <v>0.95602385999999995</v>
      </c>
      <c r="I35" s="13">
        <f>PRODUCT(H$17:H35)</f>
        <v>0.40389404288670838</v>
      </c>
      <c r="J35" s="13">
        <f>G34*Table1[[#This Row],[one-year conditional mortality AT ISSUE]]</f>
        <v>1.0081212937871873E-3</v>
      </c>
      <c r="K35" s="10">
        <f>I34*Table1[[#This Row],[one-year conditional mortality AT ISSUE]]</f>
        <v>4.3092221960280635E-4</v>
      </c>
      <c r="L35" s="3">
        <f t="shared" si="0"/>
        <v>1.9910109748700498E-3</v>
      </c>
      <c r="M35" s="44">
        <f>Table1[[#This Row],[Death benefit pay probability]]/Table1[[#This Row],[unconditional persistency AT ISSUE]]</f>
        <v>1.0669189783610632E-3</v>
      </c>
      <c r="N35" s="44">
        <f>Table1[[#This Row],[one-year conditional mortality AT ISSUE]]/Table1[[#This Row],[one-year conditional persistency AT ISSUE]]</f>
        <v>1.0669189783610632E-3</v>
      </c>
      <c r="O35" s="4">
        <f>(1+$B$14)^(Table1[[#This Row],[age since issue]]-$A$17)</f>
        <v>1.8574891955152681</v>
      </c>
      <c r="P35" s="5">
        <f>(Table1[[#This Row],[level premium unmarked-up]]*Table1[[#This Row],[unconditional persistency AT ISSUE]]-Table1[[#This Row],[Death benefit pay probability]])</f>
        <v>3.7323525246926465E-4</v>
      </c>
      <c r="Q35" s="4">
        <f>Table1[[#This Row],[Issuer profit with unmarked-up level premium]]/Table1[[#This Row],[Issuer discounter at issue]]</f>
        <v>2.0093535583970331E-4</v>
      </c>
      <c r="R35" s="4">
        <f>(Table1[[#This Row],[variable premium unmarked up]]*Table1[[#This Row],[unconditional persistency AT ISSUE]]-Table1[[#This Row],[Death benefit pay probability]])</f>
        <v>0</v>
      </c>
      <c r="S35" s="6">
        <f>Table1[[#This Row],[level premium unmarked-up]]*(1+$B$15)</f>
        <v>1.9910109748700498E-3</v>
      </c>
      <c r="T35" s="6">
        <f>MIN(Table1[[#This Row],[variable premium unmarked up]]*(1+$B$15),1)</f>
        <v>1.0669189783610632E-3</v>
      </c>
      <c r="U35" s="6">
        <f>Table1[[#This Row],[level premium marked up]]-Table1[[#This Row],[variable premium marked up]]</f>
        <v>9.2409199650898659E-4</v>
      </c>
      <c r="V35" s="6">
        <f>Table1[[#This Row],[additional cash]]+V34*(1+$D$2)</f>
        <v>2.469266291474681E-2</v>
      </c>
      <c r="W35" s="12">
        <v>8.3000000000000001E-4</v>
      </c>
      <c r="X35" s="13">
        <f>1-Table1[[#This Row],[one-year conditional mortality NOW]]</f>
        <v>0.99917</v>
      </c>
      <c r="Y35" s="49">
        <f>PRODUCT(X$17:X35)</f>
        <v>0.99367828981770889</v>
      </c>
      <c r="Z35" s="13">
        <f>Table1[[#This Row],[one-year conditional survival NOW]]*(1-Table1[[#This Row],[Lapse rate]])</f>
        <v>0.95620569</v>
      </c>
      <c r="AA35" s="13">
        <f>PRODUCT(Z$17:Z35)</f>
        <v>0.59440266848448331</v>
      </c>
      <c r="AB35" s="50">
        <f>Y34*Table1[[#This Row],[one-year conditional mortality NOW]]</f>
        <v>8.2543809416685688E-4</v>
      </c>
      <c r="AC35" s="14">
        <v>1.30999999999999E-2</v>
      </c>
      <c r="AD35" s="28">
        <f>(1+Table1[[#This Row],[Yield curve now]])^(Table1[[#This Row],[age since issue]]-$A$23)</f>
        <v>1.1690357280383288</v>
      </c>
      <c r="AE35" s="46">
        <f t="shared" si="1"/>
        <v>3.5333525787353819E-2</v>
      </c>
      <c r="AF35" s="42">
        <f>1-Table1[[#This Row],[cumulative debt until t]]</f>
        <v>0.96466647421264617</v>
      </c>
      <c r="AG35" s="46">
        <f>Table1[[#This Row],[cumulative debt until t]]*Table1[[#This Row],[Unconditional mortality NOW]]/Table1[[#This Row],[discouter with yield curve]]</f>
        <v>2.4948457507838105E-5</v>
      </c>
      <c r="AH35" s="48">
        <f>Table1[[#This Row],[Unconditional mortality NOW]]/Table1[[#This Row],[discouter with yield curve]]</f>
        <v>7.060845741232928E-4</v>
      </c>
      <c r="AI35" s="29">
        <f>Table1[[#This Row],[user profit (death benefit - debt)]]*Table1[[#This Row],[Unconditional mortality NOW]]/Table1[[#This Row],[discouter with yield curve]]</f>
        <v>6.8113611661545464E-4</v>
      </c>
      <c r="AJ35" s="29">
        <f>(1+$D$4)^(Table1[[#This Row],[age since issue]]-$A$23)</f>
        <v>5.3502501054737053</v>
      </c>
      <c r="AK35" s="57">
        <f>Table1[[#This Row],[level premium marked up]]*Table1[[#This Row],[unconditional survival NOW]]</f>
        <v>1.9784243805171606E-3</v>
      </c>
      <c r="AL35" s="62">
        <f>Table1[[#This Row],[cumulative debt until t]]*Table1[[#This Row],[Unconditional mortality NOW]]</f>
        <v>2.9165638186108827E-5</v>
      </c>
      <c r="AM35" s="47">
        <f>Table1[[#This Row],[probablistic premium stream]]/Table1[[#This Row],[lender discounter]]</f>
        <v>3.6978166282228281E-4</v>
      </c>
      <c r="AN35" s="58">
        <f>Table1[[#This Row],[probablistic repay from borrower]]/Table1[[#This Row],[lender discounter]]</f>
        <v>5.4512663167410065E-6</v>
      </c>
      <c r="AO35" s="47">
        <f>(Table1[[#This Row],[probablistic repay from borrower]]-Table1[[#This Row],[probablistic premium stream]])/Table1[[#This Row],[lender discounter]]</f>
        <v>-3.6433039650554178E-4</v>
      </c>
      <c r="AP35" s="46">
        <f>AP34*(1+$D$4)+ Table1[[#This Row],[level premium marked up]]</f>
        <v>6.8395044701149418E-2</v>
      </c>
      <c r="AQ35" s="58">
        <f>AP35*Table1[[#This Row],[Unconditional mortality NOW]]</f>
        <v>5.6455875348573757E-5</v>
      </c>
      <c r="AR35" s="60">
        <f>Table1[[#This Row],[cumulative debt until t]]*Table1[[#This Row],[Unconditional mortality NOW]]</f>
        <v>2.9165638186108827E-5</v>
      </c>
      <c r="AS35" s="58">
        <f>Table1[[#This Row],[lender to pay cumulative probablistic undiscounted]]/Table1[[#This Row],[lender discounter]]</f>
        <v>1.0552006772695575E-5</v>
      </c>
    </row>
    <row r="36" spans="1:45" s="3" customFormat="1">
      <c r="A36" s="3">
        <v>40</v>
      </c>
      <c r="B36" s="8">
        <v>4.5999999999999999E-2</v>
      </c>
      <c r="C36" s="3">
        <v>0</v>
      </c>
      <c r="D36" s="8">
        <v>4.5999999999999999E-2</v>
      </c>
      <c r="E36" s="12">
        <v>1.08E-3</v>
      </c>
      <c r="F36" s="13">
        <f>1-Table1[[#This Row],[one-year conditional mortality AT ISSUE]]</f>
        <v>0.99892000000000003</v>
      </c>
      <c r="G36" s="13">
        <f>PRODUCT(F$17:F36)</f>
        <v>0.98627975452612882</v>
      </c>
      <c r="H36" s="13">
        <f>Table1[[#This Row],[one-year conditional survival AT ISSUE]]*(1-Table1[[#This Row],[Lapse rate]])</f>
        <v>0.95296968000000004</v>
      </c>
      <c r="I36" s="13">
        <f>PRODUCT(H$17:H36)</f>
        <v>0.38489877680365275</v>
      </c>
      <c r="J36" s="13">
        <f>G35*Table1[[#This Row],[one-year conditional mortality AT ISSUE]]</f>
        <v>1.066333775365614E-3</v>
      </c>
      <c r="K36" s="10">
        <f>I35*Table1[[#This Row],[one-year conditional mortality AT ISSUE]]</f>
        <v>4.3620556631764507E-4</v>
      </c>
      <c r="L36" s="3">
        <f t="shared" si="0"/>
        <v>1.9910109748700498E-3</v>
      </c>
      <c r="M36" s="44">
        <f>Table1[[#This Row],[Death benefit pay probability]]/Table1[[#This Row],[unconditional persistency AT ISSUE]]</f>
        <v>1.1332994350880083E-3</v>
      </c>
      <c r="N36" s="44">
        <f>Table1[[#This Row],[one-year conditional mortality AT ISSUE]]/Table1[[#This Row],[one-year conditional persistency AT ISSUE]]</f>
        <v>1.1332994350880083E-3</v>
      </c>
      <c r="O36" s="4">
        <f>(1+$B$14)^(Table1[[#This Row],[age since issue]]-$A$17)</f>
        <v>1.9225013173583023</v>
      </c>
      <c r="P36" s="5">
        <f>(Table1[[#This Row],[level premium unmarked-up]]*Table1[[#This Row],[unconditional persistency AT ISSUE]]-Table1[[#This Row],[Death benefit pay probability]])</f>
        <v>3.3013212251248531E-4</v>
      </c>
      <c r="Q36" s="4">
        <f>Table1[[#This Row],[Issuer profit with unmarked-up level premium]]/Table1[[#This Row],[Issuer discounter at issue]]</f>
        <v>1.7172010210433452E-4</v>
      </c>
      <c r="R36" s="4">
        <f>(Table1[[#This Row],[variable premium unmarked up]]*Table1[[#This Row],[unconditional persistency AT ISSUE]]-Table1[[#This Row],[Death benefit pay probability]])</f>
        <v>0</v>
      </c>
      <c r="S36" s="6">
        <f>Table1[[#This Row],[level premium unmarked-up]]*(1+$B$15)</f>
        <v>1.9910109748700498E-3</v>
      </c>
      <c r="T36" s="6">
        <f>MIN(Table1[[#This Row],[variable premium unmarked up]]*(1+$B$15),1)</f>
        <v>1.1332994350880083E-3</v>
      </c>
      <c r="U36" s="6">
        <f>Table1[[#This Row],[level premium marked up]]-Table1[[#This Row],[variable premium marked up]]</f>
        <v>8.5771153978204148E-4</v>
      </c>
      <c r="V36" s="6">
        <f>Table1[[#This Row],[additional cash]]+V35*(1+$D$2)</f>
        <v>2.5575067117443596E-2</v>
      </c>
      <c r="W36" s="12">
        <v>9.6000000000000002E-4</v>
      </c>
      <c r="X36" s="13">
        <f>1-Table1[[#This Row],[one-year conditional mortality NOW]]</f>
        <v>0.99904000000000004</v>
      </c>
      <c r="Y36" s="49">
        <f>PRODUCT(X$17:X36)</f>
        <v>0.99272435865948394</v>
      </c>
      <c r="Z36" s="13">
        <f>Table1[[#This Row],[one-year conditional survival NOW]]*(1-Table1[[#This Row],[Lapse rate]])</f>
        <v>0.95308415999999996</v>
      </c>
      <c r="AA36" s="13">
        <f>PRODUCT(Z$17:Z36)</f>
        <v>0.56651576799429226</v>
      </c>
      <c r="AB36" s="50">
        <f>Y35*Table1[[#This Row],[one-year conditional mortality NOW]]</f>
        <v>9.5393115822500058E-4</v>
      </c>
      <c r="AC36" s="14">
        <v>1.36999999999999E-2</v>
      </c>
      <c r="AD36" s="28">
        <f>(1+Table1[[#This Row],[Yield curve now]])^(Table1[[#This Row],[age since issue]]-$A$23)</f>
        <v>1.1935010472776966</v>
      </c>
      <c r="AE36" s="46">
        <f t="shared" si="1"/>
        <v>3.9522098428620304E-2</v>
      </c>
      <c r="AF36" s="42">
        <f>1-Table1[[#This Row],[cumulative debt until t]]</f>
        <v>0.96047790157137969</v>
      </c>
      <c r="AG36" s="46">
        <f>Table1[[#This Row],[cumulative debt until t]]*Table1[[#This Row],[Unconditional mortality NOW]]/Table1[[#This Row],[discouter with yield curve]]</f>
        <v>3.1588879804915766E-5</v>
      </c>
      <c r="AH36" s="48">
        <f>Table1[[#This Row],[Unconditional mortality NOW]]/Table1[[#This Row],[discouter with yield curve]]</f>
        <v>7.9927132062502973E-4</v>
      </c>
      <c r="AI36" s="29">
        <f>Table1[[#This Row],[user profit (death benefit - debt)]]*Table1[[#This Row],[Unconditional mortality NOW]]/Table1[[#This Row],[discouter with yield curve]]</f>
        <v>7.6768244082011403E-4</v>
      </c>
      <c r="AJ36" s="29">
        <f>(1+$D$4)^(Table1[[#This Row],[age since issue]]-$A$23)</f>
        <v>6.1527876212947614</v>
      </c>
      <c r="AK36" s="57">
        <f>Table1[[#This Row],[level premium marked up]]*Table1[[#This Row],[unconditional survival NOW]]</f>
        <v>1.9765250931118639E-3</v>
      </c>
      <c r="AL36" s="62">
        <f>Table1[[#This Row],[cumulative debt until t]]*Table1[[#This Row],[Unconditional mortality NOW]]</f>
        <v>3.7701361129496245E-5</v>
      </c>
      <c r="AM36" s="47">
        <f>Table1[[#This Row],[probablistic premium stream]]/Table1[[#This Row],[lender discounter]]</f>
        <v>3.2124058471823768E-4</v>
      </c>
      <c r="AN36" s="58">
        <f>Table1[[#This Row],[probablistic repay from borrower]]/Table1[[#This Row],[lender discounter]]</f>
        <v>6.1275251885847734E-6</v>
      </c>
      <c r="AO36" s="47">
        <f>(Table1[[#This Row],[probablistic repay from borrower]]-Table1[[#This Row],[probablistic premium stream]])/Table1[[#This Row],[lender discounter]]</f>
        <v>-3.1511305952965291E-4</v>
      </c>
      <c r="AP36" s="46">
        <f>AP35*(1+$D$4)+ Table1[[#This Row],[level premium marked up]]</f>
        <v>8.0645312381191867E-2</v>
      </c>
      <c r="AQ36" s="58">
        <f>AP36*Table1[[#This Row],[Unconditional mortality NOW]]</f>
        <v>7.6930076245207343E-5</v>
      </c>
      <c r="AR36" s="60">
        <f>Table1[[#This Row],[cumulative debt until t]]*Table1[[#This Row],[Unconditional mortality NOW]]</f>
        <v>3.7701361129496245E-5</v>
      </c>
      <c r="AS36" s="58">
        <f>Table1[[#This Row],[lender to pay cumulative probablistic undiscounted]]/Table1[[#This Row],[lender discounter]]</f>
        <v>1.2503288099682298E-5</v>
      </c>
    </row>
    <row r="37" spans="1:45" s="3" customFormat="1">
      <c r="A37" s="3">
        <v>41</v>
      </c>
      <c r="B37" s="8">
        <v>4.4999999999999998E-2</v>
      </c>
      <c r="C37" s="3">
        <v>0</v>
      </c>
      <c r="D37" s="8">
        <v>4.4999999999999998E-2</v>
      </c>
      <c r="E37" s="12">
        <v>1.16E-3</v>
      </c>
      <c r="F37" s="13">
        <f>1-Table1[[#This Row],[one-year conditional mortality AT ISSUE]]</f>
        <v>0.99883999999999995</v>
      </c>
      <c r="G37" s="13">
        <f>PRODUCT(F$17:F37)</f>
        <v>0.98513567001087843</v>
      </c>
      <c r="H37" s="13">
        <f>Table1[[#This Row],[one-year conditional survival AT ISSUE]]*(1-Table1[[#This Row],[Lapse rate]])</f>
        <v>0.95389219999999997</v>
      </c>
      <c r="I37" s="13">
        <f>PRODUCT(H$17:H37)</f>
        <v>0.36715194098254528</v>
      </c>
      <c r="J37" s="13">
        <f>G36*Table1[[#This Row],[one-year conditional mortality AT ISSUE]]</f>
        <v>1.1440845152503095E-3</v>
      </c>
      <c r="K37" s="10">
        <f>I36*Table1[[#This Row],[one-year conditional mortality AT ISSUE]]</f>
        <v>4.4648258109223721E-4</v>
      </c>
      <c r="L37" s="3">
        <f t="shared" si="0"/>
        <v>1.9910109748700498E-3</v>
      </c>
      <c r="M37" s="44">
        <f>Table1[[#This Row],[Death benefit pay probability]]/Table1[[#This Row],[unconditional persistency AT ISSUE]]</f>
        <v>1.2160703274437092E-3</v>
      </c>
      <c r="N37" s="44">
        <f>Table1[[#This Row],[one-year conditional mortality AT ISSUE]]/Table1[[#This Row],[one-year conditional persistency AT ISSUE]]</f>
        <v>1.2160703274437092E-3</v>
      </c>
      <c r="O37" s="4">
        <f>(1+$B$14)^(Table1[[#This Row],[age since issue]]-$A$17)</f>
        <v>1.9897888634658427</v>
      </c>
      <c r="P37" s="5">
        <f>(Table1[[#This Row],[level premium unmarked-up]]*Table1[[#This Row],[unconditional persistency AT ISSUE]]-Table1[[#This Row],[Death benefit pay probability]])</f>
        <v>2.8452096284885129E-4</v>
      </c>
      <c r="Q37" s="4">
        <f>Table1[[#This Row],[Issuer profit with unmarked-up level premium]]/Table1[[#This Row],[Issuer discounter at issue]]</f>
        <v>1.4299052933348344E-4</v>
      </c>
      <c r="R37" s="4">
        <f>(Table1[[#This Row],[variable premium unmarked up]]*Table1[[#This Row],[unconditional persistency AT ISSUE]]-Table1[[#This Row],[Death benefit pay probability]])</f>
        <v>0</v>
      </c>
      <c r="S37" s="6">
        <f>Table1[[#This Row],[level premium unmarked-up]]*(1+$B$15)</f>
        <v>1.9910109748700498E-3</v>
      </c>
      <c r="T37" s="6">
        <f>MIN(Table1[[#This Row],[variable premium unmarked up]]*(1+$B$15),1)</f>
        <v>1.2160703274437092E-3</v>
      </c>
      <c r="U37" s="6">
        <f>Table1[[#This Row],[level premium marked up]]-Table1[[#This Row],[variable premium marked up]]</f>
        <v>7.7494064742634062E-4</v>
      </c>
      <c r="V37" s="6">
        <f>Table1[[#This Row],[additional cash]]+V36*(1+$D$2)</f>
        <v>2.6375582831987376E-2</v>
      </c>
      <c r="W37" s="12">
        <v>1.08E-3</v>
      </c>
      <c r="X37" s="13">
        <f>1-Table1[[#This Row],[one-year conditional mortality NOW]]</f>
        <v>0.99892000000000003</v>
      </c>
      <c r="Y37" s="49">
        <f>PRODUCT(X$17:X37)</f>
        <v>0.99165221635213174</v>
      </c>
      <c r="Z37" s="13">
        <f>Table1[[#This Row],[one-year conditional survival NOW]]*(1-Table1[[#This Row],[Lapse rate]])</f>
        <v>0.95396859999999994</v>
      </c>
      <c r="AA37" s="13">
        <f>PRODUCT(Z$17:Z37)</f>
        <v>0.54043825407143975</v>
      </c>
      <c r="AB37" s="50">
        <f>Y36*Table1[[#This Row],[one-year conditional mortality NOW]]</f>
        <v>1.0721423073522427E-3</v>
      </c>
      <c r="AC37" s="14">
        <v>1.43E-2</v>
      </c>
      <c r="AD37" s="28">
        <f>(1+Table1[[#This Row],[Yield curve now]])^(Table1[[#This Row],[age since issue]]-$A$23)</f>
        <v>1.2199160825659567</v>
      </c>
      <c r="AE37" s="46">
        <f t="shared" si="1"/>
        <v>4.3957282212899823E-2</v>
      </c>
      <c r="AF37" s="42">
        <f>1-Table1[[#This Row],[cumulative debt until t]]</f>
        <v>0.95604271778710015</v>
      </c>
      <c r="AG37" s="46">
        <f>Table1[[#This Row],[cumulative debt until t]]*Table1[[#This Row],[Unconditional mortality NOW]]/Table1[[#This Row],[discouter with yield curve]]</f>
        <v>3.8632544197255502E-5</v>
      </c>
      <c r="AH37" s="48">
        <f>Table1[[#This Row],[Unconditional mortality NOW]]/Table1[[#This Row],[discouter with yield curve]]</f>
        <v>8.7886562254111083E-4</v>
      </c>
      <c r="AI37" s="29">
        <f>Table1[[#This Row],[user profit (death benefit - debt)]]*Table1[[#This Row],[Unconditional mortality NOW]]/Table1[[#This Row],[discouter with yield curve]]</f>
        <v>8.4023307834385529E-4</v>
      </c>
      <c r="AJ37" s="29">
        <f>(1+$D$4)^(Table1[[#This Row],[age since issue]]-$A$23)</f>
        <v>7.0757057644889754</v>
      </c>
      <c r="AK37" s="57">
        <f>Table1[[#This Row],[level premium marked up]]*Table1[[#This Row],[unconditional survival NOW]]</f>
        <v>1.9743904460113033E-3</v>
      </c>
      <c r="AL37" s="62">
        <f>Table1[[#This Row],[cumulative debt until t]]*Table1[[#This Row],[Unconditional mortality NOW]]</f>
        <v>4.7128461976672113E-5</v>
      </c>
      <c r="AM37" s="47">
        <f>Table1[[#This Row],[probablistic premium stream]]/Table1[[#This Row],[lender discounter]]</f>
        <v>2.7903795207542787E-4</v>
      </c>
      <c r="AN37" s="58">
        <f>Table1[[#This Row],[probablistic repay from borrower]]/Table1[[#This Row],[lender discounter]]</f>
        <v>6.6606022841137519E-6</v>
      </c>
      <c r="AO37" s="47">
        <f>(Table1[[#This Row],[probablistic repay from borrower]]-Table1[[#This Row],[probablistic premium stream]])/Table1[[#This Row],[lender discounter]]</f>
        <v>-2.723773497913141E-4</v>
      </c>
      <c r="AP37" s="46">
        <f>AP36*(1+$D$4)+ Table1[[#This Row],[level premium marked up]]</f>
        <v>9.4733120213240693E-2</v>
      </c>
      <c r="AQ37" s="58">
        <f>AP37*Table1[[#This Row],[Unconditional mortality NOW]]</f>
        <v>1.0156738608810127E-4</v>
      </c>
      <c r="AR37" s="60">
        <f>Table1[[#This Row],[cumulative debt until t]]*Table1[[#This Row],[Unconditional mortality NOW]]</f>
        <v>4.7128461976672113E-5</v>
      </c>
      <c r="AS37" s="58">
        <f>Table1[[#This Row],[lender to pay cumulative probablistic undiscounted]]/Table1[[#This Row],[lender discounter]]</f>
        <v>1.4354382370991186E-5</v>
      </c>
    </row>
    <row r="38" spans="1:45" s="3" customFormat="1">
      <c r="A38" s="3">
        <v>42</v>
      </c>
      <c r="B38" s="8">
        <v>4.9000000000000002E-2</v>
      </c>
      <c r="C38" s="3">
        <v>0</v>
      </c>
      <c r="D38" s="8">
        <v>4.9000000000000002E-2</v>
      </c>
      <c r="E38" s="12">
        <v>1.2600000000000001E-3</v>
      </c>
      <c r="F38" s="13">
        <f>1-Table1[[#This Row],[one-year conditional mortality AT ISSUE]]</f>
        <v>0.99873999999999996</v>
      </c>
      <c r="G38" s="13">
        <f>PRODUCT(F$17:F38)</f>
        <v>0.98389439906666465</v>
      </c>
      <c r="H38" s="13">
        <f>Table1[[#This Row],[one-year conditional survival AT ISSUE]]*(1-Table1[[#This Row],[Lapse rate]])</f>
        <v>0.94980173999999995</v>
      </c>
      <c r="I38" s="13">
        <f>PRODUCT(H$17:H38)</f>
        <v>0.34872155238959879</v>
      </c>
      <c r="J38" s="13">
        <f>G37*Table1[[#This Row],[one-year conditional mortality AT ISSUE]]</f>
        <v>1.2412709442137068E-3</v>
      </c>
      <c r="K38" s="10">
        <f>I37*Table1[[#This Row],[one-year conditional mortality AT ISSUE]]</f>
        <v>4.6261144563800705E-4</v>
      </c>
      <c r="L38" s="3">
        <f t="shared" si="0"/>
        <v>1.9910109748700498E-3</v>
      </c>
      <c r="M38" s="44">
        <f>Table1[[#This Row],[Death benefit pay probability]]/Table1[[#This Row],[unconditional persistency AT ISSUE]]</f>
        <v>1.3265926423760817E-3</v>
      </c>
      <c r="N38" s="44">
        <f>Table1[[#This Row],[one-year conditional mortality AT ISSUE]]/Table1[[#This Row],[one-year conditional persistency AT ISSUE]]</f>
        <v>1.3265926423760817E-3</v>
      </c>
      <c r="O38" s="4">
        <f>(1+$B$14)^(Table1[[#This Row],[age since issue]]-$A$17)</f>
        <v>2.0594314736871469</v>
      </c>
      <c r="P38" s="5">
        <f>(Table1[[#This Row],[level premium unmarked-up]]*Table1[[#This Row],[unconditional persistency AT ISSUE]]-Table1[[#This Row],[Death benefit pay probability]])</f>
        <v>2.3169699234340519E-4</v>
      </c>
      <c r="Q38" s="4">
        <f>Table1[[#This Row],[Issuer profit with unmarked-up level premium]]/Table1[[#This Row],[Issuer discounter at issue]]</f>
        <v>1.1250531775576954E-4</v>
      </c>
      <c r="R38" s="4">
        <f>(Table1[[#This Row],[variable premium unmarked up]]*Table1[[#This Row],[unconditional persistency AT ISSUE]]-Table1[[#This Row],[Death benefit pay probability]])</f>
        <v>0</v>
      </c>
      <c r="S38" s="6">
        <f>Table1[[#This Row],[level premium unmarked-up]]*(1+$B$15)</f>
        <v>1.9910109748700498E-3</v>
      </c>
      <c r="T38" s="6">
        <f>MIN(Table1[[#This Row],[variable premium unmarked up]]*(1+$B$15),1)</f>
        <v>1.3265926423760817E-3</v>
      </c>
      <c r="U38" s="6">
        <f>Table1[[#This Row],[level premium marked up]]-Table1[[#This Row],[variable premium marked up]]</f>
        <v>6.6441833249396808E-4</v>
      </c>
      <c r="V38" s="6">
        <f>Table1[[#This Row],[additional cash]]+V37*(1+$D$2)</f>
        <v>2.7066376747313332E-2</v>
      </c>
      <c r="W38" s="12">
        <v>1.16E-3</v>
      </c>
      <c r="X38" s="13">
        <f>1-Table1[[#This Row],[one-year conditional mortality NOW]]</f>
        <v>0.99883999999999995</v>
      </c>
      <c r="Y38" s="49">
        <f>PRODUCT(X$17:X38)</f>
        <v>0.99050189978116321</v>
      </c>
      <c r="Z38" s="13">
        <f>Table1[[#This Row],[one-year conditional survival NOW]]*(1-Table1[[#This Row],[Lapse rate]])</f>
        <v>0.94989683999999996</v>
      </c>
      <c r="AA38" s="13">
        <f>PRODUCT(Z$17:Z38)</f>
        <v>0.5133605897575777</v>
      </c>
      <c r="AB38" s="50">
        <f>Y37*Table1[[#This Row],[one-year conditional mortality NOW]]</f>
        <v>1.1503165709684728E-3</v>
      </c>
      <c r="AC38" s="14">
        <v>1.49E-2</v>
      </c>
      <c r="AD38" s="28">
        <f>(1+Table1[[#This Row],[Yield curve now]])^(Table1[[#This Row],[age since issue]]-$A$23)</f>
        <v>1.248385706744549</v>
      </c>
      <c r="AE38" s="46">
        <f t="shared" si="1"/>
        <v>4.8653596896936963E-2</v>
      </c>
      <c r="AF38" s="42">
        <f>1-Table1[[#This Row],[cumulative debt until t]]</f>
        <v>0.95134640310306307</v>
      </c>
      <c r="AG38" s="46">
        <f>Table1[[#This Row],[cumulative debt until t]]*Table1[[#This Row],[Unconditional mortality NOW]]/Table1[[#This Row],[discouter with yield curve]]</f>
        <v>4.4831527984819451E-5</v>
      </c>
      <c r="AH38" s="48">
        <f>Table1[[#This Row],[Unconditional mortality NOW]]/Table1[[#This Row],[discouter with yield curve]]</f>
        <v>9.2144324046146452E-4</v>
      </c>
      <c r="AI38" s="29">
        <f>Table1[[#This Row],[user profit (death benefit - debt)]]*Table1[[#This Row],[Unconditional mortality NOW]]/Table1[[#This Row],[discouter with yield curve]]</f>
        <v>8.7661171247664508E-4</v>
      </c>
      <c r="AJ38" s="29">
        <f>(1+$D$4)^(Table1[[#This Row],[age since issue]]-$A$23)</f>
        <v>8.1370616291623197</v>
      </c>
      <c r="AK38" s="57">
        <f>Table1[[#This Row],[level premium marked up]]*Table1[[#This Row],[unconditional survival NOW]]</f>
        <v>1.97210015309393E-3</v>
      </c>
      <c r="AL38" s="62">
        <f>Table1[[#This Row],[cumulative debt until t]]*Table1[[#This Row],[Unconditional mortality NOW]]</f>
        <v>5.5967038747766858E-5</v>
      </c>
      <c r="AM38" s="47">
        <f>Table1[[#This Row],[probablistic premium stream]]/Table1[[#This Row],[lender discounter]]</f>
        <v>2.4236023308784382E-4</v>
      </c>
      <c r="AN38" s="58">
        <f>Table1[[#This Row],[probablistic repay from borrower]]/Table1[[#This Row],[lender discounter]]</f>
        <v>6.8780404153739284E-6</v>
      </c>
      <c r="AO38" s="47">
        <f>(Table1[[#This Row],[probablistic repay from borrower]]-Table1[[#This Row],[probablistic premium stream]])/Table1[[#This Row],[lender discounter]]</f>
        <v>-2.354821926724699E-4</v>
      </c>
      <c r="AP38" s="46">
        <f>AP37*(1+$D$4)+ Table1[[#This Row],[level premium marked up]]</f>
        <v>0.11093409922009684</v>
      </c>
      <c r="AQ38" s="58">
        <f>AP38*Table1[[#This Row],[Unconditional mortality NOW]]</f>
        <v>1.2760933261833814E-4</v>
      </c>
      <c r="AR38" s="60">
        <f>Table1[[#This Row],[cumulative debt until t]]*Table1[[#This Row],[Unconditional mortality NOW]]</f>
        <v>5.5967038747766858E-5</v>
      </c>
      <c r="AS38" s="58">
        <f>Table1[[#This Row],[lender to pay cumulative probablistic undiscounted]]/Table1[[#This Row],[lender discounter]]</f>
        <v>1.568248323952722E-5</v>
      </c>
    </row>
    <row r="39" spans="1:45" s="3" customFormat="1">
      <c r="A39" s="3">
        <v>43</v>
      </c>
      <c r="B39" s="8">
        <v>4.7E-2</v>
      </c>
      <c r="C39" s="3">
        <v>0</v>
      </c>
      <c r="D39" s="8">
        <v>4.7E-2</v>
      </c>
      <c r="E39" s="12">
        <v>1.39E-3</v>
      </c>
      <c r="F39" s="13">
        <f>1-Table1[[#This Row],[one-year conditional mortality AT ISSUE]]</f>
        <v>0.99861</v>
      </c>
      <c r="G39" s="13">
        <f>PRODUCT(F$17:F39)</f>
        <v>0.98252678585196196</v>
      </c>
      <c r="H39" s="13">
        <f>Table1[[#This Row],[one-year conditional survival AT ISSUE]]*(1-Table1[[#This Row],[Lapse rate]])</f>
        <v>0.95167532999999993</v>
      </c>
      <c r="I39" s="13">
        <f>PRODUCT(H$17:H39)</f>
        <v>0.33186969844848369</v>
      </c>
      <c r="J39" s="13">
        <f>G38*Table1[[#This Row],[one-year conditional mortality AT ISSUE]]</f>
        <v>1.3676132147026638E-3</v>
      </c>
      <c r="K39" s="10">
        <f>I38*Table1[[#This Row],[one-year conditional mortality AT ISSUE]]</f>
        <v>4.8472295782154228E-4</v>
      </c>
      <c r="L39" s="3">
        <f t="shared" si="0"/>
        <v>1.9910109748700498E-3</v>
      </c>
      <c r="M39" s="44">
        <f>Table1[[#This Row],[Death benefit pay probability]]/Table1[[#This Row],[unconditional persistency AT ISSUE]]</f>
        <v>1.4605821504272891E-3</v>
      </c>
      <c r="N39" s="44">
        <f>Table1[[#This Row],[one-year conditional mortality AT ISSUE]]/Table1[[#This Row],[one-year conditional persistency AT ISSUE]]</f>
        <v>1.4605821504272891E-3</v>
      </c>
      <c r="O39" s="4">
        <f>(1+$B$14)^(Table1[[#This Row],[age since issue]]-$A$17)</f>
        <v>2.1315115752661971</v>
      </c>
      <c r="P39" s="5">
        <f>(Table1[[#This Row],[level premium unmarked-up]]*Table1[[#This Row],[unconditional persistency AT ISSUE]]-Table1[[#This Row],[Death benefit pay probability]])</f>
        <v>1.7603325401620263E-4</v>
      </c>
      <c r="Q39" s="4">
        <f>Table1[[#This Row],[Issuer profit with unmarked-up level premium]]/Table1[[#This Row],[Issuer discounter at issue]]</f>
        <v>8.2586112155744895E-5</v>
      </c>
      <c r="R39" s="4">
        <f>(Table1[[#This Row],[variable premium unmarked up]]*Table1[[#This Row],[unconditional persistency AT ISSUE]]-Table1[[#This Row],[Death benefit pay probability]])</f>
        <v>0</v>
      </c>
      <c r="S39" s="6">
        <f>Table1[[#This Row],[level premium unmarked-up]]*(1+$B$15)</f>
        <v>1.9910109748700498E-3</v>
      </c>
      <c r="T39" s="6">
        <f>MIN(Table1[[#This Row],[variable premium unmarked up]]*(1+$B$15),1)</f>
        <v>1.4605821504272891E-3</v>
      </c>
      <c r="U39" s="6">
        <f>Table1[[#This Row],[level premium marked up]]-Table1[[#This Row],[variable premium marked up]]</f>
        <v>5.3042882444276069E-4</v>
      </c>
      <c r="V39" s="6">
        <f>Table1[[#This Row],[additional cash]]+V38*(1+$D$2)</f>
        <v>2.7623871948503402E-2</v>
      </c>
      <c r="W39" s="12">
        <v>1.2199999999999999E-3</v>
      </c>
      <c r="X39" s="13">
        <f>1-Table1[[#This Row],[one-year conditional mortality NOW]]</f>
        <v>0.99878</v>
      </c>
      <c r="Y39" s="49">
        <f>PRODUCT(X$17:X39)</f>
        <v>0.98929348746343015</v>
      </c>
      <c r="Z39" s="13">
        <f>Table1[[#This Row],[one-year conditional survival NOW]]*(1-Table1[[#This Row],[Lapse rate]])</f>
        <v>0.95183733999999998</v>
      </c>
      <c r="AA39" s="13">
        <f>PRODUCT(Z$17:Z39)</f>
        <v>0.48863577821568399</v>
      </c>
      <c r="AB39" s="50">
        <f>Y38*Table1[[#This Row],[one-year conditional mortality NOW]]</f>
        <v>1.208412317733019E-3</v>
      </c>
      <c r="AC39" s="14">
        <v>1.55E-2</v>
      </c>
      <c r="AD39" s="28">
        <f>(1+Table1[[#This Row],[Yield curve now]])^(Table1[[#This Row],[age since issue]]-$A$23)</f>
        <v>1.2790244419441767</v>
      </c>
      <c r="AE39" s="46">
        <f t="shared" si="1"/>
        <v>5.3626417119106325E-2</v>
      </c>
      <c r="AF39" s="42">
        <f>1-Table1[[#This Row],[cumulative debt until t]]</f>
        <v>0.94637358288089368</v>
      </c>
      <c r="AG39" s="46">
        <f>Table1[[#This Row],[cumulative debt until t]]*Table1[[#This Row],[Unconditional mortality NOW]]/Table1[[#This Row],[discouter with yield curve]]</f>
        <v>5.0665820665720517E-5</v>
      </c>
      <c r="AH39" s="48">
        <f>Table1[[#This Row],[Unconditional mortality NOW]]/Table1[[#This Row],[discouter with yield curve]]</f>
        <v>9.4479220107488793E-4</v>
      </c>
      <c r="AI39" s="29">
        <f>Table1[[#This Row],[user profit (death benefit - debt)]]*Table1[[#This Row],[Unconditional mortality NOW]]/Table1[[#This Row],[discouter with yield curve]]</f>
        <v>8.9412638040916746E-4</v>
      </c>
      <c r="AJ39" s="29">
        <f>(1+$D$4)^(Table1[[#This Row],[age since issue]]-$A$23)</f>
        <v>9.3576208735366659</v>
      </c>
      <c r="AK39" s="57">
        <f>Table1[[#This Row],[level premium marked up]]*Table1[[#This Row],[unconditional survival NOW]]</f>
        <v>1.9696941909071557E-3</v>
      </c>
      <c r="AL39" s="62">
        <f>Table1[[#This Row],[cumulative debt until t]]*Table1[[#This Row],[Unconditional mortality NOW]]</f>
        <v>6.4802823002616924E-5</v>
      </c>
      <c r="AM39" s="47">
        <f>Table1[[#This Row],[probablistic premium stream]]/Table1[[#This Row],[lender discounter]]</f>
        <v>2.1049091617693629E-4</v>
      </c>
      <c r="AN39" s="58">
        <f>Table1[[#This Row],[probablistic repay from borrower]]/Table1[[#This Row],[lender discounter]]</f>
        <v>6.9251387589209969E-6</v>
      </c>
      <c r="AO39" s="47">
        <f>(Table1[[#This Row],[probablistic repay from borrower]]-Table1[[#This Row],[probablistic premium stream]])/Table1[[#This Row],[lender discounter]]</f>
        <v>-2.0356577741801531E-4</v>
      </c>
      <c r="AP39" s="46">
        <f>AP38*(1+$D$4)+ Table1[[#This Row],[level premium marked up]]</f>
        <v>0.12956522507798141</v>
      </c>
      <c r="AQ39" s="58">
        <f>AP39*Table1[[#This Row],[Unconditional mortality NOW]]</f>
        <v>1.565682139340838E-4</v>
      </c>
      <c r="AR39" s="60">
        <f>Table1[[#This Row],[cumulative debt until t]]*Table1[[#This Row],[Unconditional mortality NOW]]</f>
        <v>6.4802823002616924E-5</v>
      </c>
      <c r="AS39" s="58">
        <f>Table1[[#This Row],[lender to pay cumulative probablistic undiscounted]]/Table1[[#This Row],[lender discounter]]</f>
        <v>1.6731626131259324E-5</v>
      </c>
    </row>
    <row r="40" spans="1:45" s="3" customFormat="1">
      <c r="A40" s="3">
        <v>44</v>
      </c>
      <c r="B40" s="8">
        <v>4.4999999999999998E-2</v>
      </c>
      <c r="C40" s="3">
        <v>0</v>
      </c>
      <c r="D40" s="8">
        <v>4.4999999999999998E-2</v>
      </c>
      <c r="E40" s="12">
        <v>1.5299999999999999E-3</v>
      </c>
      <c r="F40" s="13">
        <f>1-Table1[[#This Row],[one-year conditional mortality AT ISSUE]]</f>
        <v>0.99846999999999997</v>
      </c>
      <c r="G40" s="13">
        <f>PRODUCT(F$17:F40)</f>
        <v>0.98102351986960845</v>
      </c>
      <c r="H40" s="13">
        <f>Table1[[#This Row],[one-year conditional survival AT ISSUE]]*(1-Table1[[#This Row],[Lapse rate]])</f>
        <v>0.95353884999999994</v>
      </c>
      <c r="I40" s="13">
        <f>PRODUCT(H$17:H40)</f>
        <v>0.31645065060841387</v>
      </c>
      <c r="J40" s="13">
        <f>G39*Table1[[#This Row],[one-year conditional mortality AT ISSUE]]</f>
        <v>1.5032659823535017E-3</v>
      </c>
      <c r="K40" s="10">
        <f>I39*Table1[[#This Row],[one-year conditional mortality AT ISSUE]]</f>
        <v>5.0776063862618005E-4</v>
      </c>
      <c r="L40" s="3">
        <f t="shared" si="0"/>
        <v>1.9910109748700498E-3</v>
      </c>
      <c r="M40" s="44">
        <f>Table1[[#This Row],[Death benefit pay probability]]/Table1[[#This Row],[unconditional persistency AT ISSUE]]</f>
        <v>1.6045492011154032E-3</v>
      </c>
      <c r="N40" s="44">
        <f>Table1[[#This Row],[one-year conditional mortality AT ISSUE]]/Table1[[#This Row],[one-year conditional persistency AT ISSUE]]</f>
        <v>1.6045492011154028E-3</v>
      </c>
      <c r="O40" s="4">
        <f>(1+$B$14)^(Table1[[#This Row],[age since issue]]-$A$17)</f>
        <v>2.2061144804005139</v>
      </c>
      <c r="P40" s="5">
        <f>(Table1[[#This Row],[level premium unmarked-up]]*Table1[[#This Row],[unconditional persistency AT ISSUE]]-Table1[[#This Row],[Death benefit pay probability]])</f>
        <v>1.2229607973993962E-4</v>
      </c>
      <c r="Q40" s="4">
        <f>Table1[[#This Row],[Issuer profit with unmarked-up level premium]]/Table1[[#This Row],[Issuer discounter at issue]]</f>
        <v>5.5435055989359674E-5</v>
      </c>
      <c r="R40" s="4">
        <f>(Table1[[#This Row],[variable premium unmarked up]]*Table1[[#This Row],[unconditional persistency AT ISSUE]]-Table1[[#This Row],[Death benefit pay probability]])</f>
        <v>0</v>
      </c>
      <c r="S40" s="6">
        <f>Table1[[#This Row],[level premium unmarked-up]]*(1+$B$15)</f>
        <v>1.9910109748700498E-3</v>
      </c>
      <c r="T40" s="6">
        <f>MIN(Table1[[#This Row],[variable premium unmarked up]]*(1+$B$15),1)</f>
        <v>1.6045492011154032E-3</v>
      </c>
      <c r="U40" s="6">
        <f>Table1[[#This Row],[level premium marked up]]-Table1[[#This Row],[variable premium marked up]]</f>
        <v>3.8646177375464656E-4</v>
      </c>
      <c r="V40" s="6">
        <f>Table1[[#This Row],[additional cash]]+V39*(1+$D$2)</f>
        <v>2.8037957594206547E-2</v>
      </c>
      <c r="W40" s="12">
        <v>1.2999999999999999E-3</v>
      </c>
      <c r="X40" s="13">
        <f>1-Table1[[#This Row],[one-year conditional mortality NOW]]</f>
        <v>0.99870000000000003</v>
      </c>
      <c r="Y40" s="49">
        <f>PRODUCT(X$17:X40)</f>
        <v>0.98800740592972769</v>
      </c>
      <c r="Z40" s="13">
        <f>Table1[[#This Row],[one-year conditional survival NOW]]*(1-Table1[[#This Row],[Lapse rate]])</f>
        <v>0.95375849999999995</v>
      </c>
      <c r="AA40" s="13">
        <f>PRODUCT(Z$17:Z40)</f>
        <v>0.46604052687732339</v>
      </c>
      <c r="AB40" s="50">
        <f>Y39*Table1[[#This Row],[one-year conditional mortality NOW]]</f>
        <v>1.2860815337024591E-3</v>
      </c>
      <c r="AC40" s="14">
        <v>1.61E-2</v>
      </c>
      <c r="AD40" s="28">
        <f>(1+Table1[[#This Row],[Yield curve now]])^(Table1[[#This Row],[age since issue]]-$A$23)</f>
        <v>1.3119572178771328</v>
      </c>
      <c r="AE40" s="46">
        <f t="shared" si="1"/>
        <v>5.8892022732390858E-2</v>
      </c>
      <c r="AF40" s="42">
        <f>1-Table1[[#This Row],[cumulative debt until t]]</f>
        <v>0.9411079772676092</v>
      </c>
      <c r="AG40" s="46">
        <f>Table1[[#This Row],[cumulative debt until t]]*Table1[[#This Row],[Unconditional mortality NOW]]/Table1[[#This Row],[discouter with yield curve]]</f>
        <v>5.7730497524200899E-5</v>
      </c>
      <c r="AH40" s="48">
        <f>Table1[[#This Row],[Unconditional mortality NOW]]/Table1[[#This Row],[discouter with yield curve]]</f>
        <v>9.8027703661210624E-4</v>
      </c>
      <c r="AI40" s="29">
        <f>Table1[[#This Row],[user profit (death benefit - debt)]]*Table1[[#This Row],[Unconditional mortality NOW]]/Table1[[#This Row],[discouter with yield curve]]</f>
        <v>9.2254653908790528E-4</v>
      </c>
      <c r="AJ40" s="29">
        <f>(1+$D$4)^(Table1[[#This Row],[age since issue]]-$A$23)</f>
        <v>10.761264004567165</v>
      </c>
      <c r="AK40" s="57">
        <f>Table1[[#This Row],[level premium marked up]]*Table1[[#This Row],[unconditional survival NOW]]</f>
        <v>1.9671335884589762E-3</v>
      </c>
      <c r="AL40" s="62">
        <f>Table1[[#This Row],[cumulative debt until t]]*Table1[[#This Row],[Unconditional mortality NOW]]</f>
        <v>7.5739942918513317E-5</v>
      </c>
      <c r="AM40" s="47">
        <f>Table1[[#This Row],[probablistic premium stream]]/Table1[[#This Row],[lender discounter]]</f>
        <v>1.8279763303122285E-4</v>
      </c>
      <c r="AN40" s="58">
        <f>Table1[[#This Row],[probablistic repay from borrower]]/Table1[[#This Row],[lender discounter]]</f>
        <v>7.0382013568637187E-6</v>
      </c>
      <c r="AO40" s="47">
        <f>(Table1[[#This Row],[probablistic repay from borrower]]-Table1[[#This Row],[probablistic premium stream]])/Table1[[#This Row],[lender discounter]]</f>
        <v>-1.7575943167435912E-4</v>
      </c>
      <c r="AP40" s="46">
        <f>AP39*(1+$D$4)+ Table1[[#This Row],[level premium marked up]]</f>
        <v>0.15099101981454865</v>
      </c>
      <c r="AQ40" s="58">
        <f>AP40*Table1[[#This Row],[Unconditional mortality NOW]]</f>
        <v>1.9418676233839312E-4</v>
      </c>
      <c r="AR40" s="60">
        <f>Table1[[#This Row],[cumulative debt until t]]*Table1[[#This Row],[Unconditional mortality NOW]]</f>
        <v>7.5739942918513317E-5</v>
      </c>
      <c r="AS40" s="58">
        <f>Table1[[#This Row],[lender to pay cumulative probablistic undiscounted]]/Table1[[#This Row],[lender discounter]]</f>
        <v>1.8044977082244126E-5</v>
      </c>
    </row>
    <row r="41" spans="1:45" s="3" customFormat="1">
      <c r="A41" s="3">
        <v>45</v>
      </c>
      <c r="B41" s="8">
        <v>4.4999999999999998E-2</v>
      </c>
      <c r="C41" s="3">
        <v>0</v>
      </c>
      <c r="D41" s="8">
        <v>4.4999999999999998E-2</v>
      </c>
      <c r="E41" s="12">
        <v>1.7099999999999999E-3</v>
      </c>
      <c r="F41" s="13">
        <f>1-Table1[[#This Row],[one-year conditional mortality AT ISSUE]]</f>
        <v>0.99829000000000001</v>
      </c>
      <c r="G41" s="13">
        <f>PRODUCT(F$17:F41)</f>
        <v>0.97934596965063148</v>
      </c>
      <c r="H41" s="13">
        <f>Table1[[#This Row],[one-year conditional survival AT ISSUE]]*(1-Table1[[#This Row],[Lapse rate]])</f>
        <v>0.95336694999999994</v>
      </c>
      <c r="I41" s="13">
        <f>PRODUCT(H$17:H41)</f>
        <v>0.30169359159605919</v>
      </c>
      <c r="J41" s="13">
        <f>G40*Table1[[#This Row],[one-year conditional mortality AT ISSUE]]</f>
        <v>1.6775502189770304E-3</v>
      </c>
      <c r="K41" s="10">
        <f>I40*Table1[[#This Row],[one-year conditional mortality AT ISSUE]]</f>
        <v>5.4113061254038768E-4</v>
      </c>
      <c r="L41" s="3">
        <f t="shared" si="0"/>
        <v>1.9910109748700498E-3</v>
      </c>
      <c r="M41" s="44">
        <f>Table1[[#This Row],[Death benefit pay probability]]/Table1[[#This Row],[unconditional persistency AT ISSUE]]</f>
        <v>1.7936430458387505E-3</v>
      </c>
      <c r="N41" s="44">
        <f>Table1[[#This Row],[one-year conditional mortality AT ISSUE]]/Table1[[#This Row],[one-year conditional persistency AT ISSUE]]</f>
        <v>1.7936430458387509E-3</v>
      </c>
      <c r="O41" s="4">
        <f>(1+$B$14)^(Table1[[#This Row],[age since issue]]-$A$17)</f>
        <v>2.2833284872145314</v>
      </c>
      <c r="P41" s="5">
        <f>(Table1[[#This Row],[level premium unmarked-up]]*Table1[[#This Row],[unconditional persistency AT ISSUE]]-Table1[[#This Row],[Death benefit pay probability]])</f>
        <v>5.9544639375328748E-5</v>
      </c>
      <c r="Q41" s="4">
        <f>Table1[[#This Row],[Issuer profit with unmarked-up level premium]]/Table1[[#This Row],[Issuer discounter at issue]]</f>
        <v>2.6077999599596901E-5</v>
      </c>
      <c r="R41" s="4">
        <f>(Table1[[#This Row],[variable premium unmarked up]]*Table1[[#This Row],[unconditional persistency AT ISSUE]]-Table1[[#This Row],[Death benefit pay probability]])</f>
        <v>0</v>
      </c>
      <c r="S41" s="6">
        <f>Table1[[#This Row],[level premium unmarked-up]]*(1+$B$15)</f>
        <v>1.9910109748700498E-3</v>
      </c>
      <c r="T41" s="6">
        <f>MIN(Table1[[#This Row],[variable premium unmarked up]]*(1+$B$15),1)</f>
        <v>1.7936430458387505E-3</v>
      </c>
      <c r="U41" s="6">
        <f>Table1[[#This Row],[level premium marked up]]-Table1[[#This Row],[variable premium marked up]]</f>
        <v>1.9736792903129931E-4</v>
      </c>
      <c r="V41" s="6">
        <f>Table1[[#This Row],[additional cash]]+V40*(1+$D$2)</f>
        <v>2.8263363480832051E-2</v>
      </c>
      <c r="W41" s="12">
        <v>1.4E-3</v>
      </c>
      <c r="X41" s="13">
        <f>1-Table1[[#This Row],[one-year conditional mortality NOW]]</f>
        <v>0.99860000000000004</v>
      </c>
      <c r="Y41" s="49">
        <f>PRODUCT(X$17:X41)</f>
        <v>0.98662419556142611</v>
      </c>
      <c r="Z41" s="13">
        <f>Table1[[#This Row],[one-year conditional survival NOW]]*(1-Table1[[#This Row],[Lapse rate]])</f>
        <v>0.95366300000000004</v>
      </c>
      <c r="AA41" s="13">
        <f>PRODUCT(Z$17:Z41)</f>
        <v>0.44444560698340885</v>
      </c>
      <c r="AB41" s="50">
        <f>Y40*Table1[[#This Row],[one-year conditional mortality NOW]]</f>
        <v>1.3832103683016188E-3</v>
      </c>
      <c r="AC41" s="14">
        <v>1.67E-2</v>
      </c>
      <c r="AD41" s="28">
        <f>(1+Table1[[#This Row],[Yield curve now]])^(Table1[[#This Row],[age since issue]]-$A$23)</f>
        <v>1.347320209115261</v>
      </c>
      <c r="AE41" s="46">
        <f t="shared" si="1"/>
        <v>6.446765210082156E-2</v>
      </c>
      <c r="AF41" s="42">
        <f>1-Table1[[#This Row],[cumulative debt until t]]</f>
        <v>0.93553234789917838</v>
      </c>
      <c r="AG41" s="46">
        <f>Table1[[#This Row],[cumulative debt until t]]*Table1[[#This Row],[Unconditional mortality NOW]]/Table1[[#This Row],[discouter with yield curve]]</f>
        <v>6.6184953066557534E-5</v>
      </c>
      <c r="AH41" s="48">
        <f>Table1[[#This Row],[Unconditional mortality NOW]]/Table1[[#This Row],[discouter with yield curve]]</f>
        <v>1.0266381806964253E-3</v>
      </c>
      <c r="AI41" s="29">
        <f>Table1[[#This Row],[user profit (death benefit - debt)]]*Table1[[#This Row],[Unconditional mortality NOW]]/Table1[[#This Row],[discouter with yield curve]]</f>
        <v>9.6045322762986776E-4</v>
      </c>
      <c r="AJ41" s="29">
        <f>(1+$D$4)^(Table1[[#This Row],[age since issue]]-$A$23)</f>
        <v>12.375453605252238</v>
      </c>
      <c r="AK41" s="57">
        <f>Table1[[#This Row],[level premium marked up]]*Table1[[#This Row],[unconditional survival NOW]]</f>
        <v>1.9643796014351335E-3</v>
      </c>
      <c r="AL41" s="62">
        <f>Table1[[#This Row],[cumulative debt until t]]*Table1[[#This Row],[Unconditional mortality NOW]]</f>
        <v>8.9172324805918021E-5</v>
      </c>
      <c r="AM41" s="47">
        <f>Table1[[#This Row],[probablistic premium stream]]/Table1[[#This Row],[lender discounter]]</f>
        <v>1.587319272565036E-4</v>
      </c>
      <c r="AN41" s="58">
        <f>Table1[[#This Row],[probablistic repay from borrower]]/Table1[[#This Row],[lender discounter]]</f>
        <v>7.2055803084318947E-6</v>
      </c>
      <c r="AO41" s="47">
        <f>(Table1[[#This Row],[probablistic repay from borrower]]-Table1[[#This Row],[probablistic premium stream]])/Table1[[#This Row],[lender discounter]]</f>
        <v>-1.515263469480717E-4</v>
      </c>
      <c r="AP41" s="46">
        <f>AP40*(1+$D$4)+ Table1[[#This Row],[level premium marked up]]</f>
        <v>0.17563068376160101</v>
      </c>
      <c r="AQ41" s="58">
        <f>AP41*Table1[[#This Row],[Unconditional mortality NOW]]</f>
        <v>2.4293418277094927E-4</v>
      </c>
      <c r="AR41" s="60">
        <f>Table1[[#This Row],[cumulative debt until t]]*Table1[[#This Row],[Unconditional mortality NOW]]</f>
        <v>8.9172324805918021E-5</v>
      </c>
      <c r="AS41" s="58">
        <f>Table1[[#This Row],[lender to pay cumulative probablistic undiscounted]]/Table1[[#This Row],[lender discounter]]</f>
        <v>1.9630325523409189E-5</v>
      </c>
    </row>
    <row r="42" spans="1:45" s="3" customFormat="1">
      <c r="A42" s="3">
        <v>46</v>
      </c>
      <c r="B42" s="8">
        <v>4.3999999999999997E-2</v>
      </c>
      <c r="C42" s="3">
        <v>0</v>
      </c>
      <c r="D42" s="8">
        <v>4.3999999999999997E-2</v>
      </c>
      <c r="E42" s="12">
        <v>1.91E-3</v>
      </c>
      <c r="F42" s="13">
        <f>1-Table1[[#This Row],[one-year conditional mortality AT ISSUE]]</f>
        <v>0.99809000000000003</v>
      </c>
      <c r="G42" s="13">
        <f>PRODUCT(F$17:F42)</f>
        <v>0.97747541884859879</v>
      </c>
      <c r="H42" s="13">
        <f>Table1[[#This Row],[one-year conditional survival AT ISSUE]]*(1-Table1[[#This Row],[Lapse rate]])</f>
        <v>0.95417403999999995</v>
      </c>
      <c r="I42" s="13">
        <f>PRODUCT(H$17:H42)</f>
        <v>0.2878681931353218</v>
      </c>
      <c r="J42" s="13">
        <f>G41*Table1[[#This Row],[one-year conditional mortality AT ISSUE]]</f>
        <v>1.8705508020327062E-3</v>
      </c>
      <c r="K42" s="10">
        <f>I41*Table1[[#This Row],[one-year conditional mortality AT ISSUE]]</f>
        <v>5.7623475994847309E-4</v>
      </c>
      <c r="L42" s="3">
        <f t="shared" si="0"/>
        <v>1.9910109748700498E-3</v>
      </c>
      <c r="M42" s="44">
        <f>Table1[[#This Row],[Death benefit pay probability]]/Table1[[#This Row],[unconditional persistency AT ISSUE]]</f>
        <v>2.0017312564906925E-3</v>
      </c>
      <c r="N42" s="44">
        <f>Table1[[#This Row],[one-year conditional mortality AT ISSUE]]/Table1[[#This Row],[one-year conditional persistency AT ISSUE]]</f>
        <v>2.0017312564906925E-3</v>
      </c>
      <c r="O42" s="4">
        <f>(1+$B$14)^(Table1[[#This Row],[age since issue]]-$A$17)</f>
        <v>2.3632449842670398</v>
      </c>
      <c r="P42" s="5">
        <f>(Table1[[#This Row],[level premium unmarked-up]]*Table1[[#This Row],[unconditional persistency AT ISSUE]]-Table1[[#This Row],[Death benefit pay probability]])</f>
        <v>-3.0860281000362044E-6</v>
      </c>
      <c r="Q42" s="4">
        <f>Table1[[#This Row],[Issuer profit with unmarked-up level premium]]/Table1[[#This Row],[Issuer discounter at issue]]</f>
        <v>-1.3058434993329038E-6</v>
      </c>
      <c r="R42" s="4">
        <f>(Table1[[#This Row],[variable premium unmarked up]]*Table1[[#This Row],[unconditional persistency AT ISSUE]]-Table1[[#This Row],[Death benefit pay probability]])</f>
        <v>0</v>
      </c>
      <c r="S42" s="6">
        <f>Table1[[#This Row],[level premium unmarked-up]]*(1+$B$15)</f>
        <v>1.9910109748700498E-3</v>
      </c>
      <c r="T42" s="6">
        <f>MIN(Table1[[#This Row],[variable premium unmarked up]]*(1+$B$15),1)</f>
        <v>2.0017312564906925E-3</v>
      </c>
      <c r="U42" s="6">
        <f>Table1[[#This Row],[level premium marked up]]-Table1[[#This Row],[variable premium marked up]]</f>
        <v>-1.0720281620642692E-5</v>
      </c>
      <c r="V42" s="6">
        <f>Table1[[#This Row],[additional cash]]+V41*(1+$D$2)</f>
        <v>2.8280906562692238E-2</v>
      </c>
      <c r="W42" s="12">
        <v>1.5100000000000001E-3</v>
      </c>
      <c r="X42" s="13">
        <f>1-Table1[[#This Row],[one-year conditional mortality NOW]]</f>
        <v>0.99848999999999999</v>
      </c>
      <c r="Y42" s="49">
        <f>PRODUCT(X$17:X42)</f>
        <v>0.98513439302612837</v>
      </c>
      <c r="Z42" s="13">
        <f>Table1[[#This Row],[one-year conditional survival NOW]]*(1-Table1[[#This Row],[Lapse rate]])</f>
        <v>0.95455643999999995</v>
      </c>
      <c r="AA42" s="13">
        <f>PRODUCT(Z$17:Z42)</f>
        <v>0.42424841637572186</v>
      </c>
      <c r="AB42" s="50">
        <f>Y41*Table1[[#This Row],[one-year conditional mortality NOW]]</f>
        <v>1.4898025352977535E-3</v>
      </c>
      <c r="AC42" s="14">
        <v>1.7299999999999999E-2</v>
      </c>
      <c r="AD42" s="28">
        <f>(1+Table1[[#This Row],[Yield curve now]])^(Table1[[#This Row],[age since issue]]-$A$23)</f>
        <v>1.3852617591163727</v>
      </c>
      <c r="AE42" s="46">
        <f t="shared" si="1"/>
        <v>7.0371558533858694E-2</v>
      </c>
      <c r="AF42" s="42">
        <f>1-Table1[[#This Row],[cumulative debt until t]]</f>
        <v>0.92962844146614132</v>
      </c>
      <c r="AG42" s="46">
        <f>Table1[[#This Row],[cumulative debt until t]]*Table1[[#This Row],[Unconditional mortality NOW]]/Table1[[#This Row],[discouter with yield curve]]</f>
        <v>7.5682249673499863E-5</v>
      </c>
      <c r="AH42" s="48">
        <f>Table1[[#This Row],[Unconditional mortality NOW]]/Table1[[#This Row],[discouter with yield curve]]</f>
        <v>1.0754664419871556E-3</v>
      </c>
      <c r="AI42" s="29">
        <f>Table1[[#This Row],[user profit (death benefit - debt)]]*Table1[[#This Row],[Unconditional mortality NOW]]/Table1[[#This Row],[discouter with yield curve]]</f>
        <v>9.9978419231365576E-4</v>
      </c>
      <c r="AJ42" s="29">
        <f>(1+$D$4)^(Table1[[#This Row],[age since issue]]-$A$23)</f>
        <v>14.231771646040073</v>
      </c>
      <c r="AK42" s="57">
        <f>Table1[[#This Row],[level premium marked up]]*Table1[[#This Row],[unconditional survival NOW]]</f>
        <v>1.9614133882369668E-3</v>
      </c>
      <c r="AL42" s="62">
        <f>Table1[[#This Row],[cumulative debt until t]]*Table1[[#This Row],[Unconditional mortality NOW]]</f>
        <v>1.0483972631659694E-4</v>
      </c>
      <c r="AM42" s="47">
        <f>Table1[[#This Row],[probablistic premium stream]]/Table1[[#This Row],[lender discounter]]</f>
        <v>1.3781934090986635E-4</v>
      </c>
      <c r="AN42" s="58">
        <f>Table1[[#This Row],[probablistic repay from borrower]]/Table1[[#This Row],[lender discounter]]</f>
        <v>7.3665970002946277E-6</v>
      </c>
      <c r="AO42" s="47">
        <f>(Table1[[#This Row],[probablistic repay from borrower]]-Table1[[#This Row],[probablistic premium stream]])/Table1[[#This Row],[lender discounter]]</f>
        <v>-1.3045274390957175E-4</v>
      </c>
      <c r="AP42" s="46">
        <f>AP41*(1+$D$4)+ Table1[[#This Row],[level premium marked up]]</f>
        <v>0.20396629730071122</v>
      </c>
      <c r="AQ42" s="58">
        <f>AP42*Table1[[#This Row],[Unconditional mortality NOW]]</f>
        <v>3.0386950683389491E-4</v>
      </c>
      <c r="AR42" s="60">
        <f>Table1[[#This Row],[cumulative debt until t]]*Table1[[#This Row],[Unconditional mortality NOW]]</f>
        <v>1.0483972631659694E-4</v>
      </c>
      <c r="AS42" s="58">
        <f>Table1[[#This Row],[lender to pay cumulative probablistic undiscounted]]/Table1[[#This Row],[lender discounter]]</f>
        <v>2.1351488373441212E-5</v>
      </c>
    </row>
    <row r="43" spans="1:45" s="3" customFormat="1">
      <c r="A43" s="3">
        <v>47</v>
      </c>
      <c r="B43" s="8">
        <v>4.2000000000000003E-2</v>
      </c>
      <c r="C43" s="3">
        <v>0</v>
      </c>
      <c r="D43" s="8">
        <v>4.2000000000000003E-2</v>
      </c>
      <c r="E43" s="12">
        <v>2.0999999999999999E-3</v>
      </c>
      <c r="F43" s="13">
        <f>1-Table1[[#This Row],[one-year conditional mortality AT ISSUE]]</f>
        <v>0.99790000000000001</v>
      </c>
      <c r="G43" s="13">
        <f>PRODUCT(F$17:F43)</f>
        <v>0.97542272046901679</v>
      </c>
      <c r="H43" s="13">
        <f>Table1[[#This Row],[one-year conditional survival AT ISSUE]]*(1-Table1[[#This Row],[Lapse rate]])</f>
        <v>0.95598819999999995</v>
      </c>
      <c r="I43" s="13">
        <f>PRODUCT(H$17:H43)</f>
        <v>0.27519859579268863</v>
      </c>
      <c r="J43" s="13">
        <f>G42*Table1[[#This Row],[one-year conditional mortality AT ISSUE]]</f>
        <v>2.0526983795820571E-3</v>
      </c>
      <c r="K43" s="10">
        <f>I42*Table1[[#This Row],[one-year conditional mortality AT ISSUE]]</f>
        <v>6.045232055841757E-4</v>
      </c>
      <c r="L43" s="3">
        <f t="shared" si="0"/>
        <v>1.9910109748700498E-3</v>
      </c>
      <c r="M43" s="44">
        <f>Table1[[#This Row],[Death benefit pay probability]]/Table1[[#This Row],[unconditional persistency AT ISSUE]]</f>
        <v>2.1966798334958526E-3</v>
      </c>
      <c r="N43" s="44">
        <f>Table1[[#This Row],[one-year conditional mortality AT ISSUE]]/Table1[[#This Row],[one-year conditional persistency AT ISSUE]]</f>
        <v>2.1966798334958526E-3</v>
      </c>
      <c r="O43" s="4">
        <f>(1+$B$14)^(Table1[[#This Row],[age since issue]]-$A$17)</f>
        <v>2.4459585587163861</v>
      </c>
      <c r="P43" s="5">
        <f>(Table1[[#This Row],[level premium unmarked-up]]*Table1[[#This Row],[unconditional persistency AT ISSUE]]-Table1[[#This Row],[Death benefit pay probability]])</f>
        <v>-5.6599781092105984E-5</v>
      </c>
      <c r="Q43" s="4">
        <f>Table1[[#This Row],[Issuer profit with unmarked-up level premium]]/Table1[[#This Row],[Issuer discounter at issue]]</f>
        <v>-2.3140122669048393E-5</v>
      </c>
      <c r="R43" s="4">
        <f>(Table1[[#This Row],[variable premium unmarked up]]*Table1[[#This Row],[unconditional persistency AT ISSUE]]-Table1[[#This Row],[Death benefit pay probability]])</f>
        <v>0</v>
      </c>
      <c r="S43" s="6">
        <f>Table1[[#This Row],[level premium unmarked-up]]*(1+$B$15)</f>
        <v>1.9910109748700498E-3</v>
      </c>
      <c r="T43" s="6">
        <f>MIN(Table1[[#This Row],[variable premium unmarked up]]*(1+$B$15),1)</f>
        <v>2.1966798334958526E-3</v>
      </c>
      <c r="U43" s="6">
        <f>Table1[[#This Row],[level premium marked up]]-Table1[[#This Row],[variable premium marked up]]</f>
        <v>-2.0566885862580283E-4</v>
      </c>
      <c r="V43" s="6">
        <f>Table1[[#This Row],[additional cash]]+V42*(1+$D$2)</f>
        <v>2.8103518610629125E-2</v>
      </c>
      <c r="W43" s="12">
        <v>1.6199999999999999E-3</v>
      </c>
      <c r="X43" s="13">
        <f>1-Table1[[#This Row],[one-year conditional mortality NOW]]</f>
        <v>0.99838000000000005</v>
      </c>
      <c r="Y43" s="49">
        <f>PRODUCT(X$17:X43)</f>
        <v>0.98353847530942606</v>
      </c>
      <c r="Z43" s="13">
        <f>Table1[[#This Row],[one-year conditional survival NOW]]*(1-Table1[[#This Row],[Lapse rate]])</f>
        <v>0.95644804000000005</v>
      </c>
      <c r="AA43" s="13">
        <f>PRODUCT(Z$17:Z43)</f>
        <v>0.40577156631566308</v>
      </c>
      <c r="AB43" s="50">
        <f>Y42*Table1[[#This Row],[one-year conditional mortality NOW]]</f>
        <v>1.5959177167023278E-3</v>
      </c>
      <c r="AC43" s="14">
        <v>1.7899999999999999E-2</v>
      </c>
      <c r="AD43" s="28">
        <f>(1+Table1[[#This Row],[Yield curve now]])^(Table1[[#This Row],[age since issue]]-$A$23)</f>
        <v>1.4259433996625728</v>
      </c>
      <c r="AE43" s="46">
        <f t="shared" si="1"/>
        <v>7.6623070043467467E-2</v>
      </c>
      <c r="AF43" s="42">
        <f>1-Table1[[#This Row],[cumulative debt until t]]</f>
        <v>0.92337692995653253</v>
      </c>
      <c r="AG43" s="46">
        <f>Table1[[#This Row],[cumulative debt until t]]*Table1[[#This Row],[Unconditional mortality NOW]]/Table1[[#This Row],[discouter with yield curve]]</f>
        <v>8.5756640143942422E-5</v>
      </c>
      <c r="AH43" s="48">
        <f>Table1[[#This Row],[Unconditional mortality NOW]]/Table1[[#This Row],[discouter with yield curve]]</f>
        <v>1.1192013070644856E-3</v>
      </c>
      <c r="AI43" s="29">
        <f>Table1[[#This Row],[user profit (death benefit - debt)]]*Table1[[#This Row],[Unconditional mortality NOW]]/Table1[[#This Row],[discouter with yield curve]]</f>
        <v>1.0334446669205432E-3</v>
      </c>
      <c r="AJ43" s="29">
        <f>(1+$D$4)^(Table1[[#This Row],[age since issue]]-$A$23)</f>
        <v>16.366537392946082</v>
      </c>
      <c r="AK43" s="57">
        <f>Table1[[#This Row],[level premium marked up]]*Table1[[#This Row],[unconditional survival NOW]]</f>
        <v>1.9582358985480229E-3</v>
      </c>
      <c r="AL43" s="62">
        <f>Table1[[#This Row],[cumulative debt until t]]*Table1[[#This Row],[Unconditional mortality NOW]]</f>
        <v>1.2228411499049313E-4</v>
      </c>
      <c r="AM43" s="47">
        <f>Table1[[#This Row],[probablistic premium stream]]/Table1[[#This Row],[lender discounter]]</f>
        <v>1.1964875963268904E-4</v>
      </c>
      <c r="AN43" s="58">
        <f>Table1[[#This Row],[probablistic repay from borrower]]/Table1[[#This Row],[lender discounter]]</f>
        <v>7.4715935359178133E-6</v>
      </c>
      <c r="AO43" s="47">
        <f>(Table1[[#This Row],[probablistic repay from borrower]]-Table1[[#This Row],[probablistic premium stream]])/Table1[[#This Row],[lender discounter]]</f>
        <v>-1.1217716609677123E-4</v>
      </c>
      <c r="AP43" s="46">
        <f>AP42*(1+$D$4)+ Table1[[#This Row],[level premium marked up]]</f>
        <v>0.23655225287068796</v>
      </c>
      <c r="AQ43" s="58">
        <f>AP43*Table1[[#This Row],[Unconditional mortality NOW]]</f>
        <v>3.7751793128217996E-4</v>
      </c>
      <c r="AR43" s="60">
        <f>Table1[[#This Row],[cumulative debt until t]]*Table1[[#This Row],[Unconditional mortality NOW]]</f>
        <v>1.2228411499049313E-4</v>
      </c>
      <c r="AS43" s="58">
        <f>Table1[[#This Row],[lender to pay cumulative probablistic undiscounted]]/Table1[[#This Row],[lender discounter]]</f>
        <v>2.3066450906401791E-5</v>
      </c>
    </row>
    <row r="44" spans="1:45" s="3" customFormat="1">
      <c r="A44" s="3">
        <v>48</v>
      </c>
      <c r="B44" s="8">
        <v>3.2000000000000001E-2</v>
      </c>
      <c r="C44" s="3">
        <v>0</v>
      </c>
      <c r="D44" s="8">
        <v>3.2000000000000001E-2</v>
      </c>
      <c r="E44" s="12">
        <v>2.31E-3</v>
      </c>
      <c r="F44" s="13">
        <f>1-Table1[[#This Row],[one-year conditional mortality AT ISSUE]]</f>
        <v>0.99768999999999997</v>
      </c>
      <c r="G44" s="13">
        <f>PRODUCT(F$17:F44)</f>
        <v>0.97316949398473329</v>
      </c>
      <c r="H44" s="13">
        <f>Table1[[#This Row],[one-year conditional survival AT ISSUE]]*(1-Table1[[#This Row],[Lapse rate]])</f>
        <v>0.96576391999999989</v>
      </c>
      <c r="I44" s="13">
        <f>PRODUCT(H$17:H44)</f>
        <v>0.26577687465124245</v>
      </c>
      <c r="J44" s="13">
        <f>G43*Table1[[#This Row],[one-year conditional mortality AT ISSUE]]</f>
        <v>2.2532264842834286E-3</v>
      </c>
      <c r="K44" s="10">
        <f>I43*Table1[[#This Row],[one-year conditional mortality AT ISSUE]]</f>
        <v>6.3570875628111067E-4</v>
      </c>
      <c r="L44" s="3">
        <f t="shared" si="0"/>
        <v>1.9910109748700498E-3</v>
      </c>
      <c r="M44" s="44">
        <f>Table1[[#This Row],[Death benefit pay probability]]/Table1[[#This Row],[unconditional persistency AT ISSUE]]</f>
        <v>2.3918888997219944E-3</v>
      </c>
      <c r="N44" s="44">
        <f>Table1[[#This Row],[one-year conditional mortality AT ISSUE]]/Table1[[#This Row],[one-year conditional persistency AT ISSUE]]</f>
        <v>2.3918888997219944E-3</v>
      </c>
      <c r="O44" s="4">
        <f>(1+$B$14)^(Table1[[#This Row],[age since issue]]-$A$17)</f>
        <v>2.5315671082714597</v>
      </c>
      <c r="P44" s="5">
        <f>(Table1[[#This Row],[level premium unmarked-up]]*Table1[[#This Row],[unconditional persistency AT ISSUE]]-Table1[[#This Row],[Death benefit pay probability]])</f>
        <v>-1.0654408198382541E-4</v>
      </c>
      <c r="Q44" s="4">
        <f>Table1[[#This Row],[Issuer profit with unmarked-up level premium]]/Table1[[#This Row],[Issuer discounter at issue]]</f>
        <v>-4.2086216729436471E-5</v>
      </c>
      <c r="R44" s="4">
        <f>(Table1[[#This Row],[variable premium unmarked up]]*Table1[[#This Row],[unconditional persistency AT ISSUE]]-Table1[[#This Row],[Death benefit pay probability]])</f>
        <v>0</v>
      </c>
      <c r="S44" s="6">
        <f>Table1[[#This Row],[level premium unmarked-up]]*(1+$B$15)</f>
        <v>1.9910109748700498E-3</v>
      </c>
      <c r="T44" s="6">
        <f>MIN(Table1[[#This Row],[variable premium unmarked up]]*(1+$B$15),1)</f>
        <v>2.3918888997219944E-3</v>
      </c>
      <c r="U44" s="6">
        <f>Table1[[#This Row],[level premium marked up]]-Table1[[#This Row],[variable premium marked up]]</f>
        <v>-4.008779248519446E-4</v>
      </c>
      <c r="V44" s="6">
        <f>Table1[[#This Row],[additional cash]]+V43*(1+$D$2)</f>
        <v>2.7730744204387803E-2</v>
      </c>
      <c r="W44" s="12">
        <v>1.6800000000000001E-3</v>
      </c>
      <c r="X44" s="13">
        <f>1-Table1[[#This Row],[one-year conditional mortality NOW]]</f>
        <v>0.99831999999999999</v>
      </c>
      <c r="Y44" s="49">
        <f>PRODUCT(X$17:X44)</f>
        <v>0.98188613067090624</v>
      </c>
      <c r="Z44" s="13">
        <f>Table1[[#This Row],[one-year conditional survival NOW]]*(1-Table1[[#This Row],[Lapse rate]])</f>
        <v>0.96637375999999997</v>
      </c>
      <c r="AA44" s="13">
        <f>PRODUCT(Z$17:Z44)</f>
        <v>0.39212699424155667</v>
      </c>
      <c r="AB44" s="50">
        <f>Y43*Table1[[#This Row],[one-year conditional mortality NOW]]</f>
        <v>1.6523446385198358E-3</v>
      </c>
      <c r="AC44" s="14">
        <v>1.8079999999999999E-2</v>
      </c>
      <c r="AD44" s="28">
        <f>(1+Table1[[#This Row],[Yield curve now]])^(Table1[[#This Row],[age since issue]]-$A$23)</f>
        <v>1.4568673947555448</v>
      </c>
      <c r="AE44" s="46">
        <f t="shared" si="1"/>
        <v>8.3242652619518964E-2</v>
      </c>
      <c r="AF44" s="42">
        <f>1-Table1[[#This Row],[cumulative debt until t]]</f>
        <v>0.91675734738048109</v>
      </c>
      <c r="AG44" s="46">
        <f>Table1[[#This Row],[cumulative debt until t]]*Table1[[#This Row],[Unconditional mortality NOW]]/Table1[[#This Row],[discouter with yield curve]]</f>
        <v>9.441185330056122E-5</v>
      </c>
      <c r="AH44" s="48">
        <f>Table1[[#This Row],[Unconditional mortality NOW]]/Table1[[#This Row],[discouter with yield curve]]</f>
        <v>1.1341764147292837E-3</v>
      </c>
      <c r="AI44" s="29">
        <f>Table1[[#This Row],[user profit (death benefit - debt)]]*Table1[[#This Row],[Unconditional mortality NOW]]/Table1[[#This Row],[discouter with yield curve]]</f>
        <v>1.0397645614287224E-3</v>
      </c>
      <c r="AJ44" s="29">
        <f>(1+$D$4)^(Table1[[#This Row],[age since issue]]-$A$23)</f>
        <v>18.821518001887995</v>
      </c>
      <c r="AK44" s="57">
        <f>Table1[[#This Row],[level premium marked up]]*Table1[[#This Row],[unconditional survival NOW]]</f>
        <v>1.9549460622384622E-3</v>
      </c>
      <c r="AL44" s="62">
        <f>Table1[[#This Row],[cumulative debt until t]]*Table1[[#This Row],[Unconditional mortality NOW]]</f>
        <v>1.3754555075203131E-4</v>
      </c>
      <c r="AM44" s="47">
        <f>Table1[[#This Row],[probablistic premium stream]]/Table1[[#This Row],[lender discounter]]</f>
        <v>1.0386760844913575E-4</v>
      </c>
      <c r="AN44" s="58">
        <f>Table1[[#This Row],[probablistic repay from borrower]]/Table1[[#This Row],[lender discounter]]</f>
        <v>7.3078882765053307E-6</v>
      </c>
      <c r="AO44" s="47">
        <f>(Table1[[#This Row],[probablistic repay from borrower]]-Table1[[#This Row],[probablistic premium stream]])/Table1[[#This Row],[lender discounter]]</f>
        <v>-9.6559720172630415E-5</v>
      </c>
      <c r="AP44" s="46">
        <f>AP43*(1+$D$4)+ Table1[[#This Row],[level premium marked up]]</f>
        <v>0.27402610177616116</v>
      </c>
      <c r="AQ44" s="58">
        <f>AP44*Table1[[#This Row],[Unconditional mortality NOW]]</f>
        <v>4.5278556008433073E-4</v>
      </c>
      <c r="AR44" s="60">
        <f>Table1[[#This Row],[cumulative debt until t]]*Table1[[#This Row],[Unconditional mortality NOW]]</f>
        <v>1.3754555075203131E-4</v>
      </c>
      <c r="AS44" s="58">
        <f>Table1[[#This Row],[lender to pay cumulative probablistic undiscounted]]/Table1[[#This Row],[lender discounter]]</f>
        <v>2.4056803496875844E-5</v>
      </c>
    </row>
    <row r="45" spans="1:45" s="3" customFormat="1">
      <c r="A45" s="3">
        <v>49</v>
      </c>
      <c r="B45" s="8">
        <v>3.2000000000000001E-2</v>
      </c>
      <c r="C45" s="3">
        <v>0</v>
      </c>
      <c r="D45" s="8">
        <v>3.2000000000000001E-2</v>
      </c>
      <c r="E45" s="12">
        <v>2.4199999999999998E-3</v>
      </c>
      <c r="F45" s="13">
        <f>1-Table1[[#This Row],[one-year conditional mortality AT ISSUE]]</f>
        <v>0.99758000000000002</v>
      </c>
      <c r="G45" s="13">
        <f>PRODUCT(F$17:F45)</f>
        <v>0.97081442380929028</v>
      </c>
      <c r="H45" s="13">
        <f>Table1[[#This Row],[one-year conditional survival AT ISSUE]]*(1-Table1[[#This Row],[Lapse rate]])</f>
        <v>0.96565743999999998</v>
      </c>
      <c r="I45" s="13">
        <f>PRODUCT(H$17:H45)</f>
        <v>0.25664941638691968</v>
      </c>
      <c r="J45" s="13">
        <f>G44*Table1[[#This Row],[one-year conditional mortality AT ISSUE]]</f>
        <v>2.3550701754430545E-3</v>
      </c>
      <c r="K45" s="10">
        <f>I44*Table1[[#This Row],[one-year conditional mortality AT ISSUE]]</f>
        <v>6.4318003665600671E-4</v>
      </c>
      <c r="L45" s="3">
        <f t="shared" si="0"/>
        <v>1.9910109748700498E-3</v>
      </c>
      <c r="M45" s="44">
        <f>Table1[[#This Row],[Death benefit pay probability]]/Table1[[#This Row],[unconditional persistency AT ISSUE]]</f>
        <v>2.5060646765171714E-3</v>
      </c>
      <c r="N45" s="44">
        <f>Table1[[#This Row],[one-year conditional mortality AT ISSUE]]/Table1[[#This Row],[one-year conditional persistency AT ISSUE]]</f>
        <v>2.5060646765171714E-3</v>
      </c>
      <c r="O45" s="4">
        <f>(1+$B$14)^(Table1[[#This Row],[age since issue]]-$A$17)</f>
        <v>2.6201719570609607</v>
      </c>
      <c r="P45" s="5">
        <f>(Table1[[#This Row],[level premium unmarked-up]]*Table1[[#This Row],[unconditional persistency AT ISSUE]]-Table1[[#This Row],[Death benefit pay probability]])</f>
        <v>-1.3218823193565643E-4</v>
      </c>
      <c r="Q45" s="4">
        <f>Table1[[#This Row],[Issuer profit with unmarked-up level premium]]/Table1[[#This Row],[Issuer discounter at issue]]</f>
        <v>-5.0450212467708263E-5</v>
      </c>
      <c r="R45" s="4">
        <f>(Table1[[#This Row],[variable premium unmarked up]]*Table1[[#This Row],[unconditional persistency AT ISSUE]]-Table1[[#This Row],[Death benefit pay probability]])</f>
        <v>0</v>
      </c>
      <c r="S45" s="6">
        <f>Table1[[#This Row],[level premium unmarked-up]]*(1+$B$15)</f>
        <v>1.9910109748700498E-3</v>
      </c>
      <c r="T45" s="6">
        <f>MIN(Table1[[#This Row],[variable premium unmarked up]]*(1+$B$15),1)</f>
        <v>2.5060646765171714E-3</v>
      </c>
      <c r="U45" s="6">
        <f>Table1[[#This Row],[level premium marked up]]-Table1[[#This Row],[variable premium marked up]]</f>
        <v>-5.1505370164712161E-4</v>
      </c>
      <c r="V45" s="6">
        <f>Table1[[#This Row],[additional cash]]+V44*(1+$D$2)</f>
        <v>2.7243421246945069E-2</v>
      </c>
      <c r="W45" s="12">
        <v>1.75E-3</v>
      </c>
      <c r="X45" s="13">
        <f>1-Table1[[#This Row],[one-year conditional mortality NOW]]</f>
        <v>0.99824999999999997</v>
      </c>
      <c r="Y45" s="49">
        <f>PRODUCT(X$17:X45)</f>
        <v>0.98016782994223217</v>
      </c>
      <c r="Z45" s="13">
        <f>Table1[[#This Row],[one-year conditional survival NOW]]*(1-Table1[[#This Row],[Lapse rate]])</f>
        <v>0.966306</v>
      </c>
      <c r="AA45" s="13">
        <f>PRODUCT(Z$17:Z45)</f>
        <v>0.37891466729758166</v>
      </c>
      <c r="AB45" s="50">
        <f>Y44*Table1[[#This Row],[one-year conditional mortality NOW]]</f>
        <v>1.718300728674086E-3</v>
      </c>
      <c r="AC45" s="14">
        <v>1.8259999999999998E-2</v>
      </c>
      <c r="AD45" s="28">
        <f>(1+Table1[[#This Row],[Yield curve now]])^(Table1[[#This Row],[age since issue]]-$A$23)</f>
        <v>1.4889874749095051</v>
      </c>
      <c r="AE45" s="46">
        <f t="shared" si="1"/>
        <v>9.0251977230665165E-2</v>
      </c>
      <c r="AF45" s="42">
        <f>1-Table1[[#This Row],[cumulative debt until t]]</f>
        <v>0.90974802276933486</v>
      </c>
      <c r="AG45" s="46">
        <f>Table1[[#This Row],[cumulative debt until t]]*Table1[[#This Row],[Unconditional mortality NOW]]/Table1[[#This Row],[discouter with yield curve]]</f>
        <v>1.0415133831072295E-4</v>
      </c>
      <c r="AH45" s="48">
        <f>Table1[[#This Row],[Unconditional mortality NOW]]/Table1[[#This Row],[discouter with yield curve]]</f>
        <v>1.154006167028717E-3</v>
      </c>
      <c r="AI45" s="29">
        <f>Table1[[#This Row],[user profit (death benefit - debt)]]*Table1[[#This Row],[Unconditional mortality NOW]]/Table1[[#This Row],[discouter with yield curve]]</f>
        <v>1.049854828717994E-3</v>
      </c>
      <c r="AJ45" s="29">
        <f>(1+$D$4)^(Table1[[#This Row],[age since issue]]-$A$23)</f>
        <v>21.644745702171193</v>
      </c>
      <c r="AK45" s="57">
        <f>Table1[[#This Row],[level premium marked up]]*Table1[[#This Row],[unconditional survival NOW]]</f>
        <v>1.9515249066295449E-3</v>
      </c>
      <c r="AL45" s="62">
        <f>Table1[[#This Row],[cumulative debt until t]]*Table1[[#This Row],[Unconditional mortality NOW]]</f>
        <v>1.5508003823972897E-4</v>
      </c>
      <c r="AM45" s="47">
        <f>Table1[[#This Row],[probablistic premium stream]]/Table1[[#This Row],[lender discounter]]</f>
        <v>9.0161600116825895E-5</v>
      </c>
      <c r="AN45" s="58">
        <f>Table1[[#This Row],[probablistic repay from borrower]]/Table1[[#This Row],[lender discounter]]</f>
        <v>7.1647891074170866E-6</v>
      </c>
      <c r="AO45" s="47">
        <f>(Table1[[#This Row],[probablistic repay from borrower]]-Table1[[#This Row],[probablistic premium stream]])/Table1[[#This Row],[lender discounter]]</f>
        <v>-8.2996811009408803E-5</v>
      </c>
      <c r="AP45" s="46">
        <f>AP44*(1+$D$4)+ Table1[[#This Row],[level premium marked up]]</f>
        <v>0.31712102801745534</v>
      </c>
      <c r="AQ45" s="58">
        <f>AP45*Table1[[#This Row],[Unconditional mortality NOW]]</f>
        <v>5.4490929352026874E-4</v>
      </c>
      <c r="AR45" s="60">
        <f>Table1[[#This Row],[cumulative debt until t]]*Table1[[#This Row],[Unconditional mortality NOW]]</f>
        <v>1.5508003823972897E-4</v>
      </c>
      <c r="AS45" s="58">
        <f>Table1[[#This Row],[lender to pay cumulative probablistic undiscounted]]/Table1[[#This Row],[lender discounter]]</f>
        <v>2.5175130307287864E-5</v>
      </c>
    </row>
    <row r="46" spans="1:45" s="3" customFormat="1">
      <c r="A46" s="3">
        <v>50</v>
      </c>
      <c r="B46" s="8">
        <v>3.2000000000000001E-2</v>
      </c>
      <c r="C46" s="3">
        <v>0</v>
      </c>
      <c r="D46" s="8">
        <v>3.2000000000000001E-2</v>
      </c>
      <c r="E46" s="12">
        <v>2.5500000000000002E-3</v>
      </c>
      <c r="F46" s="13">
        <f>1-Table1[[#This Row],[one-year conditional mortality AT ISSUE]]</f>
        <v>0.99744999999999995</v>
      </c>
      <c r="G46" s="13">
        <f>PRODUCT(F$17:F46)</f>
        <v>0.96833884702857653</v>
      </c>
      <c r="H46" s="13">
        <f>Table1[[#This Row],[one-year conditional survival AT ISSUE]]*(1-Table1[[#This Row],[Lapse rate]])</f>
        <v>0.96553159999999993</v>
      </c>
      <c r="I46" s="13">
        <f>PRODUCT(H$17:H46)</f>
        <v>0.24780312164312876</v>
      </c>
      <c r="J46" s="13">
        <f>G45*Table1[[#This Row],[one-year conditional mortality AT ISSUE]]</f>
        <v>2.4755767807136905E-3</v>
      </c>
      <c r="K46" s="10">
        <f>I45*Table1[[#This Row],[one-year conditional mortality AT ISSUE]]</f>
        <v>6.5445601178664521E-4</v>
      </c>
      <c r="L46" s="3">
        <f t="shared" si="0"/>
        <v>1.9910109748700498E-3</v>
      </c>
      <c r="M46" s="44">
        <f>Table1[[#This Row],[Death benefit pay probability]]/Table1[[#This Row],[unconditional persistency AT ISSUE]]</f>
        <v>2.6410321526504159E-3</v>
      </c>
      <c r="N46" s="44">
        <f>Table1[[#This Row],[one-year conditional mortality AT ISSUE]]/Table1[[#This Row],[one-year conditional persistency AT ISSUE]]</f>
        <v>2.6410321526504159E-3</v>
      </c>
      <c r="O46" s="4">
        <f>(1+$B$14)^(Table1[[#This Row],[age since issue]]-$A$17)</f>
        <v>2.7118779755580937</v>
      </c>
      <c r="P46" s="5">
        <f>(Table1[[#This Row],[level premium unmarked-up]]*Table1[[#This Row],[unconditional persistency AT ISSUE]]-Table1[[#This Row],[Death benefit pay probability]])</f>
        <v>-1.6107727698811791E-4</v>
      </c>
      <c r="Q46" s="4">
        <f>Table1[[#This Row],[Issuer profit with unmarked-up level premium]]/Table1[[#This Row],[Issuer discounter at issue]]</f>
        <v>-5.9396948697505034E-5</v>
      </c>
      <c r="R46" s="4">
        <f>(Table1[[#This Row],[variable premium unmarked up]]*Table1[[#This Row],[unconditional persistency AT ISSUE]]-Table1[[#This Row],[Death benefit pay probability]])</f>
        <v>0</v>
      </c>
      <c r="S46" s="6">
        <f>Table1[[#This Row],[level premium unmarked-up]]*(1+$B$15)</f>
        <v>1.9910109748700498E-3</v>
      </c>
      <c r="T46" s="6">
        <f>MIN(Table1[[#This Row],[variable premium unmarked up]]*(1+$B$15),1)</f>
        <v>2.6410321526504159E-3</v>
      </c>
      <c r="U46" s="6">
        <f>Table1[[#This Row],[level premium marked up]]-Table1[[#This Row],[variable premium marked up]]</f>
        <v>-6.5002117778036614E-4</v>
      </c>
      <c r="V46" s="6">
        <f>Table1[[#This Row],[additional cash]]+V45*(1+$D$2)</f>
        <v>2.6620643490411645E-2</v>
      </c>
      <c r="W46" s="12">
        <v>1.83E-3</v>
      </c>
      <c r="X46" s="13">
        <f>1-Table1[[#This Row],[one-year conditional mortality NOW]]</f>
        <v>0.99817</v>
      </c>
      <c r="Y46" s="49">
        <f>PRODUCT(X$17:X46)</f>
        <v>0.97837412281343794</v>
      </c>
      <c r="Z46" s="13">
        <f>Table1[[#This Row],[one-year conditional survival NOW]]*(1-Table1[[#This Row],[Lapse rate]])</f>
        <v>0.96622856000000001</v>
      </c>
      <c r="AA46" s="13">
        <f>PRODUCT(Z$17:Z46)</f>
        <v>0.36611817334582142</v>
      </c>
      <c r="AB46" s="50">
        <f>Y45*Table1[[#This Row],[one-year conditional mortality NOW]]</f>
        <v>1.793707128794285E-3</v>
      </c>
      <c r="AC46" s="14">
        <v>1.8439999999999901E-2</v>
      </c>
      <c r="AD46" s="28">
        <f>(1+Table1[[#This Row],[Yield curve now]])^(Table1[[#This Row],[age since issue]]-$A$23)</f>
        <v>1.5223527958448058</v>
      </c>
      <c r="AE46" s="46">
        <f t="shared" si="1"/>
        <v>9.7673990770033345E-2</v>
      </c>
      <c r="AF46" s="42">
        <f>1-Table1[[#This Row],[cumulative debt until t]]</f>
        <v>0.90232600922996664</v>
      </c>
      <c r="AG46" s="46">
        <f>Table1[[#This Row],[cumulative debt until t]]*Table1[[#This Row],[Unconditional mortality NOW]]/Table1[[#This Row],[discouter with yield curve]]</f>
        <v>1.1508405543064171E-4</v>
      </c>
      <c r="AH46" s="48">
        <f>Table1[[#This Row],[Unconditional mortality NOW]]/Table1[[#This Row],[discouter with yield curve]]</f>
        <v>1.1782466808548772E-3</v>
      </c>
      <c r="AI46" s="29">
        <f>Table1[[#This Row],[user profit (death benefit - debt)]]*Table1[[#This Row],[Unconditional mortality NOW]]/Table1[[#This Row],[discouter with yield curve]]</f>
        <v>1.0631626254242355E-3</v>
      </c>
      <c r="AJ46" s="29">
        <f>(1+$D$4)^(Table1[[#This Row],[age since issue]]-$A$23)</f>
        <v>24.891457557496867</v>
      </c>
      <c r="AK46" s="57">
        <f>Table1[[#This Row],[level premium marked up]]*Table1[[#This Row],[unconditional survival NOW]]</f>
        <v>1.9479536160504128E-3</v>
      </c>
      <c r="AL46" s="62">
        <f>Table1[[#This Row],[cumulative debt until t]]*Table1[[#This Row],[Unconditional mortality NOW]]</f>
        <v>1.7519853354199601E-4</v>
      </c>
      <c r="AM46" s="47">
        <f>Table1[[#This Row],[probablistic premium stream]]/Table1[[#This Row],[lender discounter]]</f>
        <v>7.8257916859662702E-5</v>
      </c>
      <c r="AN46" s="58">
        <f>Table1[[#This Row],[probablistic repay from borrower]]/Table1[[#This Row],[lender discounter]]</f>
        <v>7.0385003826033208E-6</v>
      </c>
      <c r="AO46" s="47">
        <f>(Table1[[#This Row],[probablistic repay from borrower]]-Table1[[#This Row],[probablistic premium stream]])/Table1[[#This Row],[lender discounter]]</f>
        <v>-7.1219416477059379E-5</v>
      </c>
      <c r="AP46" s="46">
        <f>AP45*(1+$D$4)+ Table1[[#This Row],[level premium marked up]]</f>
        <v>0.36668019319494366</v>
      </c>
      <c r="AQ46" s="58">
        <f>AP46*Table1[[#This Row],[Unconditional mortality NOW]]</f>
        <v>6.5771687652143608E-4</v>
      </c>
      <c r="AR46" s="60">
        <f>Table1[[#This Row],[cumulative debt until t]]*Table1[[#This Row],[Unconditional mortality NOW]]</f>
        <v>1.7519853354199601E-4</v>
      </c>
      <c r="AS46" s="58">
        <f>Table1[[#This Row],[lender to pay cumulative probablistic undiscounted]]/Table1[[#This Row],[lender discounter]]</f>
        <v>2.6423397464860125E-5</v>
      </c>
    </row>
    <row r="47" spans="1:45" s="3" customFormat="1">
      <c r="A47" s="3">
        <v>51</v>
      </c>
      <c r="B47" s="8">
        <v>3.2000000000000001E-2</v>
      </c>
      <c r="C47" s="3">
        <v>0</v>
      </c>
      <c r="D47" s="8">
        <v>3.2000000000000001E-2</v>
      </c>
      <c r="E47" s="12">
        <v>2.7399999999999998E-3</v>
      </c>
      <c r="F47" s="13">
        <f>1-Table1[[#This Row],[one-year conditional mortality AT ISSUE]]</f>
        <v>0.99726000000000004</v>
      </c>
      <c r="G47" s="13">
        <f>PRODUCT(F$17:F47)</f>
        <v>0.9656855985877183</v>
      </c>
      <c r="H47" s="13">
        <f>Table1[[#This Row],[one-year conditional survival AT ISSUE]]*(1-Table1[[#This Row],[Lapse rate]])</f>
        <v>0.96534768000000004</v>
      </c>
      <c r="I47" s="13">
        <f>PRODUCT(H$17:H47)</f>
        <v>0.23921616857495215</v>
      </c>
      <c r="J47" s="13">
        <f>G46*Table1[[#This Row],[one-year conditional mortality AT ISSUE]]</f>
        <v>2.6532484408582995E-3</v>
      </c>
      <c r="K47" s="10">
        <f>I46*Table1[[#This Row],[one-year conditional mortality AT ISSUE]]</f>
        <v>6.7898055330217278E-4</v>
      </c>
      <c r="L47" s="3">
        <f t="shared" si="0"/>
        <v>1.9910109748700498E-3</v>
      </c>
      <c r="M47" s="44">
        <f>Table1[[#This Row],[Death benefit pay probability]]/Table1[[#This Row],[unconditional persistency AT ISSUE]]</f>
        <v>2.8383556067592144E-3</v>
      </c>
      <c r="N47" s="44">
        <f>Table1[[#This Row],[one-year conditional mortality AT ISSUE]]/Table1[[#This Row],[one-year conditional persistency AT ISSUE]]</f>
        <v>2.8383556067592144E-3</v>
      </c>
      <c r="O47" s="4">
        <f>(1+$B$14)^(Table1[[#This Row],[age since issue]]-$A$17)</f>
        <v>2.8067937047026272</v>
      </c>
      <c r="P47" s="5">
        <f>(Table1[[#This Row],[level premium unmarked-up]]*Table1[[#This Row],[unconditional persistency AT ISSUE]]-Table1[[#This Row],[Death benefit pay probability]])</f>
        <v>-2.0269853630307911E-4</v>
      </c>
      <c r="Q47" s="4">
        <f>Table1[[#This Row],[Issuer profit with unmarked-up level premium]]/Table1[[#This Row],[Issuer discounter at issue]]</f>
        <v>-7.2217112345474113E-5</v>
      </c>
      <c r="R47" s="4">
        <f>(Table1[[#This Row],[variable premium unmarked up]]*Table1[[#This Row],[unconditional persistency AT ISSUE]]-Table1[[#This Row],[Death benefit pay probability]])</f>
        <v>0</v>
      </c>
      <c r="S47" s="6">
        <f>Table1[[#This Row],[level premium unmarked-up]]*(1+$B$15)</f>
        <v>1.9910109748700498E-3</v>
      </c>
      <c r="T47" s="6">
        <f>MIN(Table1[[#This Row],[variable premium unmarked up]]*(1+$B$15),1)</f>
        <v>2.8383556067592144E-3</v>
      </c>
      <c r="U47" s="6">
        <f>Table1[[#This Row],[level premium marked up]]-Table1[[#This Row],[variable premium marked up]]</f>
        <v>-8.4734463188916457E-4</v>
      </c>
      <c r="V47" s="6">
        <f>Table1[[#This Row],[additional cash]]+V46*(1+$D$2)</f>
        <v>2.5799919502012887E-2</v>
      </c>
      <c r="W47" s="12">
        <v>1.92E-3</v>
      </c>
      <c r="X47" s="13">
        <f>1-Table1[[#This Row],[one-year conditional mortality NOW]]</f>
        <v>0.99807999999999997</v>
      </c>
      <c r="Y47" s="49">
        <f>PRODUCT(X$17:X47)</f>
        <v>0.97649564449763615</v>
      </c>
      <c r="Z47" s="13">
        <f>Table1[[#This Row],[one-year conditional survival NOW]]*(1-Table1[[#This Row],[Lapse rate]])</f>
        <v>0.96614143999999991</v>
      </c>
      <c r="AA47" s="13">
        <f>PRODUCT(Z$17:Z47)</f>
        <v>0.35372193920650147</v>
      </c>
      <c r="AB47" s="50">
        <f>Y46*Table1[[#This Row],[one-year conditional mortality NOW]]</f>
        <v>1.878478315801801E-3</v>
      </c>
      <c r="AC47" s="14">
        <v>1.8619999999999901E-2</v>
      </c>
      <c r="AD47" s="28">
        <f>(1+Table1[[#This Row],[Yield curve now]])^(Table1[[#This Row],[age since issue]]-$A$23)</f>
        <v>1.5570149298194449</v>
      </c>
      <c r="AE47" s="46">
        <f t="shared" si="1"/>
        <v>0.10553299117799941</v>
      </c>
      <c r="AF47" s="42">
        <f>1-Table1[[#This Row],[cumulative debt until t]]</f>
        <v>0.89446700882200059</v>
      </c>
      <c r="AG47" s="46">
        <f>Table1[[#This Row],[cumulative debt until t]]*Table1[[#This Row],[Unconditional mortality NOW]]/Table1[[#This Row],[discouter with yield curve]]</f>
        <v>1.273214737591265E-4</v>
      </c>
      <c r="AH47" s="48">
        <f>Table1[[#This Row],[Unconditional mortality NOW]]/Table1[[#This Row],[discouter with yield curve]]</f>
        <v>1.2064613381835931E-3</v>
      </c>
      <c r="AI47" s="29">
        <f>Table1[[#This Row],[user profit (death benefit - debt)]]*Table1[[#This Row],[Unconditional mortality NOW]]/Table1[[#This Row],[discouter with yield curve]]</f>
        <v>1.0791398644244667E-3</v>
      </c>
      <c r="AJ47" s="29">
        <f>(1+$D$4)^(Table1[[#This Row],[age since issue]]-$A$23)</f>
        <v>28.625176191121394</v>
      </c>
      <c r="AK47" s="57">
        <f>Table1[[#This Row],[level premium marked up]]*Table1[[#This Row],[unconditional survival NOW]]</f>
        <v>1.9442135451075962E-3</v>
      </c>
      <c r="AL47" s="62">
        <f>Table1[[#This Row],[cumulative debt until t]]*Table1[[#This Row],[Unconditional mortality NOW]]</f>
        <v>1.9824143552957466E-4</v>
      </c>
      <c r="AM47" s="47">
        <f>Table1[[#This Row],[probablistic premium stream]]/Table1[[#This Row],[lender discounter]]</f>
        <v>6.7919705790688844E-5</v>
      </c>
      <c r="AN47" s="58">
        <f>Table1[[#This Row],[probablistic repay from borrower]]/Table1[[#This Row],[lender discounter]]</f>
        <v>6.925422369664322E-6</v>
      </c>
      <c r="AO47" s="47">
        <f>(Table1[[#This Row],[probablistic repay from borrower]]-Table1[[#This Row],[probablistic premium stream]])/Table1[[#This Row],[lender discounter]]</f>
        <v>-6.0994283421024523E-5</v>
      </c>
      <c r="AP47" s="46">
        <f>AP46*(1+$D$4)+ Table1[[#This Row],[level premium marked up]]</f>
        <v>0.4236732331490552</v>
      </c>
      <c r="AQ47" s="58">
        <f>AP47*Table1[[#This Row],[Unconditional mortality NOW]]</f>
        <v>7.9586098145614098E-4</v>
      </c>
      <c r="AR47" s="60">
        <f>Table1[[#This Row],[cumulative debt until t]]*Table1[[#This Row],[Unconditional mortality NOW]]</f>
        <v>1.9824143552957466E-4</v>
      </c>
      <c r="AS47" s="58">
        <f>Table1[[#This Row],[lender to pay cumulative probablistic undiscounted]]/Table1[[#This Row],[lender discounter]]</f>
        <v>2.7802832588432814E-5</v>
      </c>
    </row>
    <row r="48" spans="1:45" s="3" customFormat="1">
      <c r="A48" s="3">
        <v>52</v>
      </c>
      <c r="B48" s="8">
        <v>3.2000000000000001E-2</v>
      </c>
      <c r="C48" s="3">
        <v>0</v>
      </c>
      <c r="D48" s="8">
        <v>3.2000000000000001E-2</v>
      </c>
      <c r="E48" s="12">
        <v>2.97E-3</v>
      </c>
      <c r="F48" s="13">
        <f>1-Table1[[#This Row],[one-year conditional mortality AT ISSUE]]</f>
        <v>0.99702999999999997</v>
      </c>
      <c r="G48" s="13">
        <f>PRODUCT(F$17:F48)</f>
        <v>0.96281751235991275</v>
      </c>
      <c r="H48" s="13">
        <f>Table1[[#This Row],[one-year conditional survival AT ISSUE]]*(1-Table1[[#This Row],[Lapse rate]])</f>
        <v>0.96512503999999999</v>
      </c>
      <c r="I48" s="13">
        <f>PRODUCT(H$17:H48)</f>
        <v>0.23087351426454744</v>
      </c>
      <c r="J48" s="13">
        <f>G47*Table1[[#This Row],[one-year conditional mortality AT ISSUE]]</f>
        <v>2.8680862278055233E-3</v>
      </c>
      <c r="K48" s="10">
        <f>I47*Table1[[#This Row],[one-year conditional mortality AT ISSUE]]</f>
        <v>7.1047202066760789E-4</v>
      </c>
      <c r="L48" s="3">
        <f t="shared" si="0"/>
        <v>1.9910109748700498E-3</v>
      </c>
      <c r="M48" s="44">
        <f>Table1[[#This Row],[Death benefit pay probability]]/Table1[[#This Row],[unconditional persistency AT ISSUE]]</f>
        <v>3.0773214629267105E-3</v>
      </c>
      <c r="N48" s="44">
        <f>Table1[[#This Row],[one-year conditional mortality AT ISSUE]]/Table1[[#This Row],[one-year conditional persistency AT ISSUE]]</f>
        <v>3.0773214629267105E-3</v>
      </c>
      <c r="O48" s="4">
        <f>(1+$B$14)^(Table1[[#This Row],[age since issue]]-$A$17)</f>
        <v>2.9050314843672189</v>
      </c>
      <c r="P48" s="5">
        <f>(Table1[[#This Row],[level premium unmarked-up]]*Table1[[#This Row],[unconditional persistency AT ISSUE]]-Table1[[#This Row],[Death benefit pay probability]])</f>
        <v>-2.5080031996007696E-4</v>
      </c>
      <c r="Q48" s="4">
        <f>Table1[[#This Row],[Issuer profit with unmarked-up level premium]]/Table1[[#This Row],[Issuer discounter at issue]]</f>
        <v>-8.6333081520700592E-5</v>
      </c>
      <c r="R48" s="4">
        <f>(Table1[[#This Row],[variable premium unmarked up]]*Table1[[#This Row],[unconditional persistency AT ISSUE]]-Table1[[#This Row],[Death benefit pay probability]])</f>
        <v>0</v>
      </c>
      <c r="S48" s="6">
        <f>Table1[[#This Row],[level premium unmarked-up]]*(1+$B$15)</f>
        <v>1.9910109748700498E-3</v>
      </c>
      <c r="T48" s="6">
        <f>MIN(Table1[[#This Row],[variable premium unmarked up]]*(1+$B$15),1)</f>
        <v>3.0773214629267105E-3</v>
      </c>
      <c r="U48" s="6">
        <f>Table1[[#This Row],[level premium marked up]]-Table1[[#This Row],[variable premium marked up]]</f>
        <v>-1.0863104880566607E-3</v>
      </c>
      <c r="V48" s="6">
        <f>Table1[[#This Row],[additional cash]]+V47*(1+$D$2)</f>
        <v>2.4739408933458235E-2</v>
      </c>
      <c r="W48" s="12">
        <v>2.0600000000000002E-3</v>
      </c>
      <c r="X48" s="13">
        <f>1-Table1[[#This Row],[one-year conditional mortality NOW]]</f>
        <v>0.99794000000000005</v>
      </c>
      <c r="Y48" s="49">
        <f>PRODUCT(X$17:X48)</f>
        <v>0.97448406346997107</v>
      </c>
      <c r="Z48" s="13">
        <f>Table1[[#This Row],[one-year conditional survival NOW]]*(1-Table1[[#This Row],[Lapse rate]])</f>
        <v>0.96600592000000007</v>
      </c>
      <c r="AA48" s="13">
        <f>PRODUCT(Z$17:Z48)</f>
        <v>0.34169748730736055</v>
      </c>
      <c r="AB48" s="50">
        <f>Y47*Table1[[#This Row],[one-year conditional mortality NOW]]</f>
        <v>2.0115810276651307E-3</v>
      </c>
      <c r="AC48" s="14">
        <v>1.87999999999999E-2</v>
      </c>
      <c r="AD48" s="28">
        <f>(1+Table1[[#This Row],[Yield curve now]])^(Table1[[#This Row],[age since issue]]-$A$23)</f>
        <v>1.5930279926828215</v>
      </c>
      <c r="AE48" s="46">
        <f t="shared" si="1"/>
        <v>0.1138547069879747</v>
      </c>
      <c r="AF48" s="42">
        <f>1-Table1[[#This Row],[cumulative debt until t]]</f>
        <v>0.88614529301202527</v>
      </c>
      <c r="AG48" s="46">
        <f>Table1[[#This Row],[cumulative debt until t]]*Table1[[#This Row],[Unconditional mortality NOW]]/Table1[[#This Row],[discouter with yield curve]]</f>
        <v>1.4376895417994259E-4</v>
      </c>
      <c r="AH48" s="48">
        <f>Table1[[#This Row],[Unconditional mortality NOW]]/Table1[[#This Row],[discouter with yield curve]]</f>
        <v>1.2627405399684305E-3</v>
      </c>
      <c r="AI48" s="29">
        <f>Table1[[#This Row],[user profit (death benefit - debt)]]*Table1[[#This Row],[Unconditional mortality NOW]]/Table1[[#This Row],[discouter with yield curve]]</f>
        <v>1.1189715857884879E-3</v>
      </c>
      <c r="AJ48" s="29">
        <f>(1+$D$4)^(Table1[[#This Row],[age since issue]]-$A$23)</f>
        <v>32.9189526197896</v>
      </c>
      <c r="AK48" s="57">
        <f>Table1[[#This Row],[level premium marked up]]*Table1[[#This Row],[unconditional survival NOW]]</f>
        <v>1.9402084652046746E-3</v>
      </c>
      <c r="AL48" s="62">
        <f>Table1[[#This Row],[cumulative debt until t]]*Table1[[#This Row],[Unconditional mortality NOW]]</f>
        <v>2.290279684873825E-4</v>
      </c>
      <c r="AM48" s="47">
        <f>Table1[[#This Row],[probablistic premium stream]]/Table1[[#This Row],[lender discounter]]</f>
        <v>5.8938948866747853E-5</v>
      </c>
      <c r="AN48" s="58">
        <f>Table1[[#This Row],[probablistic repay from borrower]]/Table1[[#This Row],[lender discounter]]</f>
        <v>6.9573285375337171E-6</v>
      </c>
      <c r="AO48" s="47">
        <f>(Table1[[#This Row],[probablistic repay from borrower]]-Table1[[#This Row],[probablistic premium stream]])/Table1[[#This Row],[lender discounter]]</f>
        <v>-5.1981620329214139E-5</v>
      </c>
      <c r="AP48" s="46">
        <f>AP47*(1+$D$4)+ Table1[[#This Row],[level premium marked up]]</f>
        <v>0.48921522909628345</v>
      </c>
      <c r="AQ48" s="58">
        <f>AP48*Table1[[#This Row],[Unconditional mortality NOW]]</f>
        <v>9.840960732949342E-4</v>
      </c>
      <c r="AR48" s="60">
        <f>Table1[[#This Row],[cumulative debt until t]]*Table1[[#This Row],[Unconditional mortality NOW]]</f>
        <v>2.290279684873825E-4</v>
      </c>
      <c r="AS48" s="58">
        <f>Table1[[#This Row],[lender to pay cumulative probablistic undiscounted]]/Table1[[#This Row],[lender discounter]]</f>
        <v>2.9894513493826465E-5</v>
      </c>
    </row>
    <row r="49" spans="1:45" s="3" customFormat="1">
      <c r="A49" s="3">
        <v>53</v>
      </c>
      <c r="B49" s="8">
        <v>3.2000000000000001E-2</v>
      </c>
      <c r="C49" s="3">
        <v>0</v>
      </c>
      <c r="D49" s="8">
        <v>3.2000000000000001E-2</v>
      </c>
      <c r="E49" s="12">
        <v>3.29E-3</v>
      </c>
      <c r="F49" s="13">
        <f>1-Table1[[#This Row],[one-year conditional mortality AT ISSUE]]</f>
        <v>0.99670999999999998</v>
      </c>
      <c r="G49" s="13">
        <f>PRODUCT(F$17:F49)</f>
        <v>0.95964984274424858</v>
      </c>
      <c r="H49" s="13">
        <f>Table1[[#This Row],[one-year conditional survival AT ISSUE]]*(1-Table1[[#This Row],[Lapse rate]])</f>
        <v>0.96481527999999994</v>
      </c>
      <c r="I49" s="13">
        <f>PRODUCT(H$17:H49)</f>
        <v>0.22275029430973331</v>
      </c>
      <c r="J49" s="13">
        <f>G48*Table1[[#This Row],[one-year conditional mortality AT ISSUE]]</f>
        <v>3.1676696156641127E-3</v>
      </c>
      <c r="K49" s="10">
        <f>I48*Table1[[#This Row],[one-year conditional mortality AT ISSUE]]</f>
        <v>7.5957386193036111E-4</v>
      </c>
      <c r="L49" s="3">
        <f t="shared" ref="L49:L80" si="2">$B$1</f>
        <v>1.9910109748700498E-3</v>
      </c>
      <c r="M49" s="44">
        <f>Table1[[#This Row],[Death benefit pay probability]]/Table1[[#This Row],[unconditional persistency AT ISSUE]]</f>
        <v>3.4099791620215637E-3</v>
      </c>
      <c r="N49" s="44">
        <f>Table1[[#This Row],[one-year conditional mortality AT ISSUE]]/Table1[[#This Row],[one-year conditional persistency AT ISSUE]]</f>
        <v>3.4099791620215633E-3</v>
      </c>
      <c r="O49" s="4">
        <f>(1+$B$14)^(Table1[[#This Row],[age since issue]]-$A$17)</f>
        <v>3.0067075863200707</v>
      </c>
      <c r="P49" s="5">
        <f>(Table1[[#This Row],[level premium unmarked-up]]*Table1[[#This Row],[unconditional persistency AT ISSUE]]-Table1[[#This Row],[Death benefit pay probability]])</f>
        <v>-3.1607558130414851E-4</v>
      </c>
      <c r="Q49" s="4">
        <f>Table1[[#This Row],[Issuer profit with unmarked-up level premium]]/Table1[[#This Row],[Issuer discounter at issue]]</f>
        <v>-1.051234854836667E-4</v>
      </c>
      <c r="R49" s="4">
        <f>(Table1[[#This Row],[variable premium unmarked up]]*Table1[[#This Row],[unconditional persistency AT ISSUE]]-Table1[[#This Row],[Death benefit pay probability]])</f>
        <v>0</v>
      </c>
      <c r="S49" s="6">
        <f>Table1[[#This Row],[level premium unmarked-up]]*(1+$B$15)</f>
        <v>1.9910109748700498E-3</v>
      </c>
      <c r="T49" s="6">
        <f>MIN(Table1[[#This Row],[variable premium unmarked up]]*(1+$B$15),1)</f>
        <v>3.4099791620215637E-3</v>
      </c>
      <c r="U49" s="6">
        <f>Table1[[#This Row],[level premium marked up]]-Table1[[#This Row],[variable premium marked up]]</f>
        <v>-1.418968187151514E-3</v>
      </c>
      <c r="V49" s="6">
        <f>Table1[[#This Row],[additional cash]]+V48*(1+$D$2)</f>
        <v>2.3345180155240178E-2</v>
      </c>
      <c r="W49" s="12">
        <v>2.2499999999999998E-3</v>
      </c>
      <c r="X49" s="13">
        <f>1-Table1[[#This Row],[one-year conditional mortality NOW]]</f>
        <v>0.99775000000000003</v>
      </c>
      <c r="Y49" s="49">
        <f>PRODUCT(X$17:X49)</f>
        <v>0.97229147432716367</v>
      </c>
      <c r="Z49" s="13">
        <f>Table1[[#This Row],[one-year conditional survival NOW]]*(1-Table1[[#This Row],[Lapse rate]])</f>
        <v>0.96582199999999996</v>
      </c>
      <c r="AA49" s="13">
        <f>PRODUCT(Z$17:Z49)</f>
        <v>0.33001895058616959</v>
      </c>
      <c r="AB49" s="50">
        <f>Y48*Table1[[#This Row],[one-year conditional mortality NOW]]</f>
        <v>2.1925891428074347E-3</v>
      </c>
      <c r="AC49" s="14">
        <v>1.898E-2</v>
      </c>
      <c r="AD49" s="28">
        <f>(1+Table1[[#This Row],[Yield curve now]])^(Table1[[#This Row],[age since issue]]-$A$23)</f>
        <v>1.6304487782887955</v>
      </c>
      <c r="AE49" s="46">
        <f t="shared" si="1"/>
        <v>0.12266638155562051</v>
      </c>
      <c r="AF49" s="42">
        <f>1-Table1[[#This Row],[cumulative debt until t]]</f>
        <v>0.87733361844437951</v>
      </c>
      <c r="AG49" s="46">
        <f>Table1[[#This Row],[cumulative debt until t]]*Table1[[#This Row],[Unconditional mortality NOW]]/Table1[[#This Row],[discouter with yield curve]]</f>
        <v>1.6495886284057694E-4</v>
      </c>
      <c r="AH49" s="48">
        <f>Table1[[#This Row],[Unconditional mortality NOW]]/Table1[[#This Row],[discouter with yield curve]]</f>
        <v>1.3447764640043597E-3</v>
      </c>
      <c r="AI49" s="29">
        <f>Table1[[#This Row],[user profit (death benefit - debt)]]*Table1[[#This Row],[Unconditional mortality NOW]]/Table1[[#This Row],[discouter with yield curve]]</f>
        <v>1.1798176011637829E-3</v>
      </c>
      <c r="AJ49" s="29">
        <f>(1+$D$4)^(Table1[[#This Row],[age since issue]]-$A$23)</f>
        <v>37.85679551275804</v>
      </c>
      <c r="AK49" s="57">
        <f>Table1[[#This Row],[level premium marked up]]*Table1[[#This Row],[unconditional survival NOW]]</f>
        <v>1.9358429961579642E-3</v>
      </c>
      <c r="AL49" s="62">
        <f>Table1[[#This Row],[cumulative debt until t]]*Table1[[#This Row],[Unconditional mortality NOW]]</f>
        <v>2.6895697638632768E-4</v>
      </c>
      <c r="AM49" s="47">
        <f>Table1[[#This Row],[probablistic premium stream]]/Table1[[#This Row],[lender discounter]]</f>
        <v>5.1135944549389283E-5</v>
      </c>
      <c r="AN49" s="58">
        <f>Table1[[#This Row],[probablistic repay from borrower]]/Table1[[#This Row],[lender discounter]]</f>
        <v>7.1045890901063473E-6</v>
      </c>
      <c r="AO49" s="47">
        <f>(Table1[[#This Row],[probablistic repay from borrower]]-Table1[[#This Row],[probablistic premium stream]])/Table1[[#This Row],[lender discounter]]</f>
        <v>-4.4031355459282931E-5</v>
      </c>
      <c r="AP49" s="46">
        <f>AP48*(1+$D$4)+ Table1[[#This Row],[level premium marked up]]</f>
        <v>0.56458852443559604</v>
      </c>
      <c r="AQ49" s="58">
        <f>AP49*Table1[[#This Row],[Unconditional mortality NOW]]</f>
        <v>1.2379106688311578E-3</v>
      </c>
      <c r="AR49" s="60">
        <f>Table1[[#This Row],[cumulative debt until t]]*Table1[[#This Row],[Unconditional mortality NOW]]</f>
        <v>2.6895697638632768E-4</v>
      </c>
      <c r="AS49" s="58">
        <f>Table1[[#This Row],[lender to pay cumulative probablistic undiscounted]]/Table1[[#This Row],[lender discounter]]</f>
        <v>3.2699827126518725E-5</v>
      </c>
    </row>
    <row r="50" spans="1:45" s="3" customFormat="1">
      <c r="A50" s="3">
        <v>54</v>
      </c>
      <c r="B50" s="8">
        <v>3.2000000000000001E-2</v>
      </c>
      <c r="C50" s="3">
        <v>0</v>
      </c>
      <c r="D50" s="8">
        <v>3.2000000000000001E-2</v>
      </c>
      <c r="E50" s="12">
        <v>3.65E-3</v>
      </c>
      <c r="F50" s="13">
        <f>1-Table1[[#This Row],[one-year conditional mortality AT ISSUE]]</f>
        <v>0.99634999999999996</v>
      </c>
      <c r="G50" s="13">
        <f>PRODUCT(F$17:F50)</f>
        <v>0.95614712081823205</v>
      </c>
      <c r="H50" s="13">
        <f>Table1[[#This Row],[one-year conditional survival AT ISSUE]]*(1-Table1[[#This Row],[Lapse rate]])</f>
        <v>0.96446679999999996</v>
      </c>
      <c r="I50" s="13">
        <f>PRODUCT(H$17:H50)</f>
        <v>0.21483526355196669</v>
      </c>
      <c r="J50" s="13">
        <f>G49*Table1[[#This Row],[one-year conditional mortality AT ISSUE]]</f>
        <v>3.5027219260165073E-3</v>
      </c>
      <c r="K50" s="10">
        <f>I49*Table1[[#This Row],[one-year conditional mortality AT ISSUE]]</f>
        <v>8.130385742305266E-4</v>
      </c>
      <c r="L50" s="3">
        <f t="shared" si="2"/>
        <v>1.9910109748700498E-3</v>
      </c>
      <c r="M50" s="44">
        <f>Table1[[#This Row],[Death benefit pay probability]]/Table1[[#This Row],[unconditional persistency AT ISSUE]]</f>
        <v>3.7844744889093127E-3</v>
      </c>
      <c r="N50" s="44">
        <f>Table1[[#This Row],[one-year conditional mortality AT ISSUE]]/Table1[[#This Row],[one-year conditional persistency AT ISSUE]]</f>
        <v>3.7844744889093127E-3</v>
      </c>
      <c r="O50" s="4">
        <f>(1+$B$14)^(Table1[[#This Row],[age since issue]]-$A$17)</f>
        <v>3.111942351841273</v>
      </c>
      <c r="P50" s="5">
        <f>(Table1[[#This Row],[level premium unmarked-up]]*Table1[[#This Row],[unconditional persistency AT ISSUE]]-Table1[[#This Row],[Death benefit pay probability]])</f>
        <v>-3.8529920670946131E-4</v>
      </c>
      <c r="Q50" s="4">
        <f>Table1[[#This Row],[Issuer profit with unmarked-up level premium]]/Table1[[#This Row],[Issuer discounter at issue]]</f>
        <v>-1.2381309264340568E-4</v>
      </c>
      <c r="R50" s="4">
        <f>(Table1[[#This Row],[variable premium unmarked up]]*Table1[[#This Row],[unconditional persistency AT ISSUE]]-Table1[[#This Row],[Death benefit pay probability]])</f>
        <v>0</v>
      </c>
      <c r="S50" s="6">
        <f>Table1[[#This Row],[level premium unmarked-up]]*(1+$B$15)</f>
        <v>1.9910109748700498E-3</v>
      </c>
      <c r="T50" s="6">
        <f>MIN(Table1[[#This Row],[variable premium unmarked up]]*(1+$B$15),1)</f>
        <v>3.7844744889093127E-3</v>
      </c>
      <c r="U50" s="6">
        <f>Table1[[#This Row],[level premium marked up]]-Table1[[#This Row],[variable premium marked up]]</f>
        <v>-1.7934635140392629E-3</v>
      </c>
      <c r="V50" s="6">
        <f>Table1[[#This Row],[additional cash]]+V49*(1+$D$2)</f>
        <v>2.1575061821356156E-2</v>
      </c>
      <c r="W50" s="12">
        <v>2.4599999999999999E-3</v>
      </c>
      <c r="X50" s="13">
        <f>1-Table1[[#This Row],[one-year conditional mortality NOW]]</f>
        <v>0.99753999999999998</v>
      </c>
      <c r="Y50" s="49">
        <f>PRODUCT(X$17:X50)</f>
        <v>0.96989963730031881</v>
      </c>
      <c r="Z50" s="13">
        <f>Table1[[#This Row],[one-year conditional survival NOW]]*(1-Table1[[#This Row],[Lapse rate]])</f>
        <v>0.96561871999999993</v>
      </c>
      <c r="AA50" s="13">
        <f>PRODUCT(Z$17:Z50)</f>
        <v>0.31867247664076032</v>
      </c>
      <c r="AB50" s="50">
        <f>Y49*Table1[[#This Row],[one-year conditional mortality NOW]]</f>
        <v>2.3918370268448228E-3</v>
      </c>
      <c r="AC50" s="14">
        <v>1.916E-2</v>
      </c>
      <c r="AD50" s="28">
        <f>(1+Table1[[#This Row],[Yield curve now]])^(Table1[[#This Row],[age since issue]]-$A$23)</f>
        <v>1.66933690071985</v>
      </c>
      <c r="AE50" s="46">
        <f t="shared" si="1"/>
        <v>0.13199686224723722</v>
      </c>
      <c r="AF50" s="42">
        <f>1-Table1[[#This Row],[cumulative debt until t]]</f>
        <v>0.86800313775276283</v>
      </c>
      <c r="AG50" s="46">
        <f>Table1[[#This Row],[cumulative debt until t]]*Table1[[#This Row],[Unconditional mortality NOW]]/Table1[[#This Row],[discouter with yield curve]]</f>
        <v>1.8912598314584382E-4</v>
      </c>
      <c r="AH50" s="48">
        <f>Table1[[#This Row],[Unconditional mortality NOW]]/Table1[[#This Row],[discouter with yield curve]]</f>
        <v>1.4328066586279959E-3</v>
      </c>
      <c r="AI50" s="29">
        <f>Table1[[#This Row],[user profit (death benefit - debt)]]*Table1[[#This Row],[Unconditional mortality NOW]]/Table1[[#This Row],[discouter with yield curve]]</f>
        <v>1.2436806754821522E-3</v>
      </c>
      <c r="AJ50" s="29">
        <f>(1+$D$4)^(Table1[[#This Row],[age since issue]]-$A$23)</f>
        <v>43.535314839671742</v>
      </c>
      <c r="AK50" s="57">
        <f>Table1[[#This Row],[level premium marked up]]*Table1[[#This Row],[unconditional survival NOW]]</f>
        <v>1.9310808223874155E-3</v>
      </c>
      <c r="AL50" s="62">
        <f>Table1[[#This Row],[cumulative debt until t]]*Table1[[#This Row],[Unconditional mortality NOW]]</f>
        <v>3.157149825502775E-4</v>
      </c>
      <c r="AM50" s="47">
        <f>Table1[[#This Row],[probablistic premium stream]]/Table1[[#This Row],[lender discounter]]</f>
        <v>4.4356652283302424E-5</v>
      </c>
      <c r="AN50" s="58">
        <f>Table1[[#This Row],[probablistic repay from borrower]]/Table1[[#This Row],[lender discounter]]</f>
        <v>7.2519283187216293E-6</v>
      </c>
      <c r="AO50" s="47">
        <f>(Table1[[#This Row],[probablistic repay from borrower]]-Table1[[#This Row],[probablistic premium stream]])/Table1[[#This Row],[lender discounter]]</f>
        <v>-3.7104723964580792E-5</v>
      </c>
      <c r="AP50" s="46">
        <f>AP49*(1+$D$4)+ Table1[[#This Row],[level premium marked up]]</f>
        <v>0.65126781407580547</v>
      </c>
      <c r="AQ50" s="58">
        <f>AP50*Table1[[#This Row],[Unconditional mortality NOW]]</f>
        <v>1.5577264720988014E-3</v>
      </c>
      <c r="AR50" s="60">
        <f>Table1[[#This Row],[cumulative debt until t]]*Table1[[#This Row],[Unconditional mortality NOW]]</f>
        <v>3.157149825502775E-4</v>
      </c>
      <c r="AS50" s="58">
        <f>Table1[[#This Row],[lender to pay cumulative probablistic undiscounted]]/Table1[[#This Row],[lender discounter]]</f>
        <v>3.5780755872226206E-5</v>
      </c>
    </row>
    <row r="51" spans="1:45" s="3" customFormat="1">
      <c r="A51" s="3">
        <v>55</v>
      </c>
      <c r="B51" s="8">
        <v>3.2000000000000001E-2</v>
      </c>
      <c r="C51" s="3">
        <v>0</v>
      </c>
      <c r="D51" s="8">
        <v>3.2000000000000001E-2</v>
      </c>
      <c r="E51" s="12">
        <v>4.1099999999999999E-3</v>
      </c>
      <c r="F51" s="13">
        <f>1-Table1[[#This Row],[one-year conditional mortality AT ISSUE]]</f>
        <v>0.99589000000000005</v>
      </c>
      <c r="G51" s="13">
        <f>PRODUCT(F$17:F51)</f>
        <v>0.95221735615166914</v>
      </c>
      <c r="H51" s="13">
        <f>Table1[[#This Row],[one-year conditional survival AT ISSUE]]*(1-Table1[[#This Row],[Lapse rate]])</f>
        <v>0.96402152000000008</v>
      </c>
      <c r="I51" s="13">
        <f>PRODUCT(H$17:H51)</f>
        <v>0.20710581731896754</v>
      </c>
      <c r="J51" s="13">
        <f>G50*Table1[[#This Row],[one-year conditional mortality AT ISSUE]]</f>
        <v>3.9297646665629338E-3</v>
      </c>
      <c r="K51" s="10">
        <f>I50*Table1[[#This Row],[one-year conditional mortality AT ISSUE]]</f>
        <v>8.8297293319858307E-4</v>
      </c>
      <c r="L51" s="3">
        <f t="shared" si="2"/>
        <v>1.9910109748700498E-3</v>
      </c>
      <c r="M51" s="44">
        <f>Table1[[#This Row],[Death benefit pay probability]]/Table1[[#This Row],[unconditional persistency AT ISSUE]]</f>
        <v>4.2633903027392995E-3</v>
      </c>
      <c r="N51" s="44">
        <f>Table1[[#This Row],[one-year conditional mortality AT ISSUE]]/Table1[[#This Row],[one-year conditional persistency AT ISSUE]]</f>
        <v>4.2633903027392995E-3</v>
      </c>
      <c r="O51" s="4">
        <f>(1+$B$14)^(Table1[[#This Row],[age since issue]]-$A$17)</f>
        <v>3.2208603341557174</v>
      </c>
      <c r="P51" s="5">
        <f>(Table1[[#This Row],[level premium unmarked-up]]*Table1[[#This Row],[unconditional persistency AT ISSUE]]-Table1[[#This Row],[Death benefit pay probability]])</f>
        <v>-4.7062297795708708E-4</v>
      </c>
      <c r="Q51" s="4">
        <f>Table1[[#This Row],[Issuer profit with unmarked-up level premium]]/Table1[[#This Row],[Issuer discounter at issue]]</f>
        <v>-1.4611716409008814E-4</v>
      </c>
      <c r="R51" s="4">
        <f>(Table1[[#This Row],[variable premium unmarked up]]*Table1[[#This Row],[unconditional persistency AT ISSUE]]-Table1[[#This Row],[Death benefit pay probability]])</f>
        <v>0</v>
      </c>
      <c r="S51" s="6">
        <f>Table1[[#This Row],[level premium unmarked-up]]*(1+$B$15)</f>
        <v>1.9910109748700498E-3</v>
      </c>
      <c r="T51" s="6">
        <f>MIN(Table1[[#This Row],[variable premium unmarked up]]*(1+$B$15),1)</f>
        <v>4.2633903027392995E-3</v>
      </c>
      <c r="U51" s="6">
        <f>Table1[[#This Row],[level premium marked up]]-Table1[[#This Row],[variable premium marked up]]</f>
        <v>-2.2723793278692497E-3</v>
      </c>
      <c r="V51" s="6">
        <f>Table1[[#This Row],[additional cash]]+V50*(1+$D$2)</f>
        <v>1.9324257555308259E-2</v>
      </c>
      <c r="W51" s="12">
        <v>2.6900000000000001E-3</v>
      </c>
      <c r="X51" s="13">
        <f>1-Table1[[#This Row],[one-year conditional mortality NOW]]</f>
        <v>0.99731000000000003</v>
      </c>
      <c r="Y51" s="49">
        <f>PRODUCT(X$17:X51)</f>
        <v>0.96729060727598093</v>
      </c>
      <c r="Z51" s="13">
        <f>Table1[[#This Row],[one-year conditional survival NOW]]*(1-Table1[[#This Row],[Lapse rate]])</f>
        <v>0.96539607999999999</v>
      </c>
      <c r="AA51" s="13">
        <f>PRODUCT(Z$17:Z51)</f>
        <v>0.30764515975288159</v>
      </c>
      <c r="AB51" s="50">
        <f>Y50*Table1[[#This Row],[one-year conditional mortality NOW]]</f>
        <v>2.6090300243378577E-3</v>
      </c>
      <c r="AC51" s="14">
        <v>1.934E-2</v>
      </c>
      <c r="AD51" s="28">
        <f>(1+Table1[[#This Row],[Yield curve now]])^(Table1[[#This Row],[age since issue]]-$A$23)</f>
        <v>1.7097549448036504</v>
      </c>
      <c r="AE51" s="46">
        <f t="shared" si="1"/>
        <v>0.14187669487930996</v>
      </c>
      <c r="AF51" s="42">
        <f>1-Table1[[#This Row],[cumulative debt until t]]</f>
        <v>0.85812330512069002</v>
      </c>
      <c r="AG51" s="46">
        <f>Table1[[#This Row],[cumulative debt until t]]*Table1[[#This Row],[Unconditional mortality NOW]]/Table1[[#This Row],[discouter with yield curve]]</f>
        <v>2.1649918768706962E-4</v>
      </c>
      <c r="AH51" s="48">
        <f>Table1[[#This Row],[Unconditional mortality NOW]]/Table1[[#This Row],[discouter with yield curve]]</f>
        <v>1.5259672342327868E-3</v>
      </c>
      <c r="AI51" s="29">
        <f>Table1[[#This Row],[user profit (death benefit - debt)]]*Table1[[#This Row],[Unconditional mortality NOW]]/Table1[[#This Row],[discouter with yield curve]]</f>
        <v>1.3094680465457172E-3</v>
      </c>
      <c r="AJ51" s="29">
        <f>(1+$D$4)^(Table1[[#This Row],[age since issue]]-$A$23)</f>
        <v>50.065612065622496</v>
      </c>
      <c r="AK51" s="57">
        <f>Table1[[#This Row],[level premium marked up]]*Table1[[#This Row],[unconditional survival NOW]]</f>
        <v>1.9258862149751932E-3</v>
      </c>
      <c r="AL51" s="62">
        <f>Table1[[#This Row],[cumulative debt until t]]*Table1[[#This Row],[Unconditional mortality NOW]]</f>
        <v>3.7016055669394086E-4</v>
      </c>
      <c r="AM51" s="47">
        <f>Table1[[#This Row],[probablistic premium stream]]/Table1[[#This Row],[lender discounter]]</f>
        <v>3.8467245990139428E-5</v>
      </c>
      <c r="AN51" s="58">
        <f>Table1[[#This Row],[probablistic repay from borrower]]/Table1[[#This Row],[lender discounter]]</f>
        <v>7.3935090658386505E-6</v>
      </c>
      <c r="AO51" s="47">
        <f>(Table1[[#This Row],[probablistic repay from borrower]]-Table1[[#This Row],[probablistic premium stream]])/Table1[[#This Row],[lender discounter]]</f>
        <v>-3.1073736924300782E-5</v>
      </c>
      <c r="AP51" s="46">
        <f>AP50*(1+$D$4)+ Table1[[#This Row],[level premium marked up]]</f>
        <v>0.75094899716204633</v>
      </c>
      <c r="AQ51" s="58">
        <f>AP51*Table1[[#This Row],[Unconditional mortality NOW]]</f>
        <v>1.9592484803421834E-3</v>
      </c>
      <c r="AR51" s="60">
        <f>Table1[[#This Row],[cumulative debt until t]]*Table1[[#This Row],[Unconditional mortality NOW]]</f>
        <v>3.7016055669394086E-4</v>
      </c>
      <c r="AS51" s="58">
        <f>Table1[[#This Row],[lender to pay cumulative probablistic undiscounted]]/Table1[[#This Row],[lender discounter]]</f>
        <v>3.913361685809689E-5</v>
      </c>
    </row>
    <row r="52" spans="1:45" s="3" customFormat="1">
      <c r="A52" s="3">
        <v>56</v>
      </c>
      <c r="B52" s="8">
        <v>3.2000000000000001E-2</v>
      </c>
      <c r="C52" s="3">
        <v>0</v>
      </c>
      <c r="D52" s="8">
        <v>3.2000000000000001E-2</v>
      </c>
      <c r="E52" s="12">
        <v>4.6800000000000001E-3</v>
      </c>
      <c r="F52" s="13">
        <f>1-Table1[[#This Row],[one-year conditional mortality AT ISSUE]]</f>
        <v>0.99531999999999998</v>
      </c>
      <c r="G52" s="13">
        <f>PRODUCT(F$17:F52)</f>
        <v>0.94776097892487932</v>
      </c>
      <c r="H52" s="13">
        <f>Table1[[#This Row],[one-year conditional survival AT ISSUE]]*(1-Table1[[#This Row],[Lapse rate]])</f>
        <v>0.96346975999999995</v>
      </c>
      <c r="I52" s="13">
        <f>PRODUCT(H$17:H52)</f>
        <v>0.19954019210690949</v>
      </c>
      <c r="J52" s="13">
        <f>G51*Table1[[#This Row],[one-year conditional mortality AT ISSUE]]</f>
        <v>4.4563772267898118E-3</v>
      </c>
      <c r="K52" s="10">
        <f>I51*Table1[[#This Row],[one-year conditional mortality AT ISSUE]]</f>
        <v>9.6925522505276812E-4</v>
      </c>
      <c r="L52" s="3">
        <f t="shared" si="2"/>
        <v>1.9910109748700498E-3</v>
      </c>
      <c r="M52" s="44">
        <f>Table1[[#This Row],[Death benefit pay probability]]/Table1[[#This Row],[unconditional persistency AT ISSUE]]</f>
        <v>4.8574435797549059E-3</v>
      </c>
      <c r="N52" s="44">
        <f>Table1[[#This Row],[one-year conditional mortality AT ISSUE]]/Table1[[#This Row],[one-year conditional persistency AT ISSUE]]</f>
        <v>4.8574435797549059E-3</v>
      </c>
      <c r="O52" s="4">
        <f>(1+$B$14)^(Table1[[#This Row],[age since issue]]-$A$17)</f>
        <v>3.3335904458511671</v>
      </c>
      <c r="P52" s="5">
        <f>(Table1[[#This Row],[level premium unmarked-up]]*Table1[[#This Row],[unconditional persistency AT ISSUE]]-Table1[[#This Row],[Death benefit pay probability]])</f>
        <v>-5.7196851264023317E-4</v>
      </c>
      <c r="Q52" s="4">
        <f>Table1[[#This Row],[Issuer profit with unmarked-up level premium]]/Table1[[#This Row],[Issuer discounter at issue]]</f>
        <v>-1.7157731938909255E-4</v>
      </c>
      <c r="R52" s="4">
        <f>(Table1[[#This Row],[variable premium unmarked up]]*Table1[[#This Row],[unconditional persistency AT ISSUE]]-Table1[[#This Row],[Death benefit pay probability]])</f>
        <v>-1.0842021724855044E-19</v>
      </c>
      <c r="S52" s="6">
        <f>Table1[[#This Row],[level premium unmarked-up]]*(1+$B$15)</f>
        <v>1.9910109748700498E-3</v>
      </c>
      <c r="T52" s="6">
        <f>MIN(Table1[[#This Row],[variable premium unmarked up]]*(1+$B$15),1)</f>
        <v>4.8574435797549059E-3</v>
      </c>
      <c r="U52" s="6">
        <f>Table1[[#This Row],[level premium marked up]]-Table1[[#This Row],[variable premium marked up]]</f>
        <v>-2.8664326048848561E-3</v>
      </c>
      <c r="V52" s="6">
        <f>Table1[[#This Row],[additional cash]]+V51*(1+$D$2)</f>
        <v>1.6477149207978707E-2</v>
      </c>
      <c r="W52" s="12">
        <v>2.9099999999999998E-3</v>
      </c>
      <c r="X52" s="13">
        <f>1-Table1[[#This Row],[one-year conditional mortality NOW]]</f>
        <v>0.99709000000000003</v>
      </c>
      <c r="Y52" s="49">
        <f>PRODUCT(X$17:X52)</f>
        <v>0.96447579160880781</v>
      </c>
      <c r="Z52" s="13">
        <f>Table1[[#This Row],[one-year conditional survival NOW]]*(1-Table1[[#This Row],[Lapse rate]])</f>
        <v>0.96518311999999995</v>
      </c>
      <c r="AA52" s="13">
        <f>PRODUCT(Z$17:Z52)</f>
        <v>0.29693391514318468</v>
      </c>
      <c r="AB52" s="50">
        <f>Y51*Table1[[#This Row],[one-year conditional mortality NOW]]</f>
        <v>2.8148156671731045E-3</v>
      </c>
      <c r="AC52" s="14">
        <v>1.9519999999999999E-2</v>
      </c>
      <c r="AD52" s="28">
        <f>(1+Table1[[#This Row],[Yield curve now]])^(Table1[[#This Row],[age since issue]]-$A$23)</f>
        <v>1.7517686254350771</v>
      </c>
      <c r="AE52" s="46">
        <f t="shared" si="1"/>
        <v>0.15233822371838371</v>
      </c>
      <c r="AF52" s="42">
        <f>1-Table1[[#This Row],[cumulative debt until t]]</f>
        <v>0.84766177628161632</v>
      </c>
      <c r="AG52" s="46">
        <f>Table1[[#This Row],[cumulative debt until t]]*Table1[[#This Row],[Unconditional mortality NOW]]/Table1[[#This Row],[discouter with yield curve]]</f>
        <v>2.4478347916827672E-4</v>
      </c>
      <c r="AH52" s="48">
        <f>Table1[[#This Row],[Unconditional mortality NOW]]/Table1[[#This Row],[discouter with yield curve]]</f>
        <v>1.6068421515849471E-3</v>
      </c>
      <c r="AI52" s="29">
        <f>Table1[[#This Row],[user profit (death benefit - debt)]]*Table1[[#This Row],[Unconditional mortality NOW]]/Table1[[#This Row],[discouter with yield curve]]</f>
        <v>1.3620586724166705E-3</v>
      </c>
      <c r="AJ52" s="29">
        <f>(1+$D$4)^(Table1[[#This Row],[age since issue]]-$A$23)</f>
        <v>57.575453875465868</v>
      </c>
      <c r="AK52" s="57">
        <f>Table1[[#This Row],[level premium marked up]]*Table1[[#This Row],[unconditional survival NOW]]</f>
        <v>1.9202818860896153E-3</v>
      </c>
      <c r="AL52" s="62">
        <f>Table1[[#This Row],[cumulative debt until t]]*Table1[[#This Row],[Unconditional mortality NOW]]</f>
        <v>4.2880401883182788E-4</v>
      </c>
      <c r="AM52" s="47">
        <f>Table1[[#This Row],[probablistic premium stream]]/Table1[[#This Row],[lender discounter]]</f>
        <v>3.3352440264615761E-5</v>
      </c>
      <c r="AN52" s="58">
        <f>Table1[[#This Row],[probablistic repay from borrower]]/Table1[[#This Row],[lender discounter]]</f>
        <v>7.4476880331559218E-6</v>
      </c>
      <c r="AO52" s="47">
        <f>(Table1[[#This Row],[probablistic repay from borrower]]-Table1[[#This Row],[probablistic premium stream]])/Table1[[#This Row],[lender discounter]]</f>
        <v>-2.5904752231459839E-5</v>
      </c>
      <c r="AP52" s="46">
        <f>AP51*(1+$D$4)+ Table1[[#This Row],[level premium marked up]]</f>
        <v>0.86558235771122327</v>
      </c>
      <c r="AQ52" s="58">
        <f>AP52*Table1[[#This Row],[Unconditional mortality NOW]]</f>
        <v>2.4364547817141858E-3</v>
      </c>
      <c r="AR52" s="60">
        <f>Table1[[#This Row],[cumulative debt until t]]*Table1[[#This Row],[Unconditional mortality NOW]]</f>
        <v>4.2880401883182788E-4</v>
      </c>
      <c r="AS52" s="58">
        <f>Table1[[#This Row],[lender to pay cumulative probablistic undiscounted]]/Table1[[#This Row],[lender discounter]]</f>
        <v>4.2317595741132513E-5</v>
      </c>
    </row>
    <row r="53" spans="1:45" s="3" customFormat="1">
      <c r="A53" s="3">
        <v>57</v>
      </c>
      <c r="B53" s="8">
        <v>3.2000000000000001E-2</v>
      </c>
      <c r="C53" s="3">
        <v>0</v>
      </c>
      <c r="D53" s="8">
        <v>3.2000000000000001E-2</v>
      </c>
      <c r="E53" s="12">
        <v>5.2599999999999999E-3</v>
      </c>
      <c r="F53" s="13">
        <f>1-Table1[[#This Row],[one-year conditional mortality AT ISSUE]]</f>
        <v>0.99473999999999996</v>
      </c>
      <c r="G53" s="13">
        <f>PRODUCT(F$17:F53)</f>
        <v>0.94277575617573439</v>
      </c>
      <c r="H53" s="13">
        <f>Table1[[#This Row],[one-year conditional survival AT ISSUE]]*(1-Table1[[#This Row],[Lapse rate]])</f>
        <v>0.96290831999999993</v>
      </c>
      <c r="I53" s="13">
        <f>PRODUCT(H$17:H53)</f>
        <v>0.19213891115414147</v>
      </c>
      <c r="J53" s="13">
        <f>G52*Table1[[#This Row],[one-year conditional mortality AT ISSUE]]</f>
        <v>4.9852227491448652E-3</v>
      </c>
      <c r="K53" s="10">
        <f>I52*Table1[[#This Row],[one-year conditional mortality AT ISSUE]]</f>
        <v>1.0495814104823438E-3</v>
      </c>
      <c r="L53" s="3">
        <f t="shared" si="2"/>
        <v>1.9910109748700498E-3</v>
      </c>
      <c r="M53" s="44">
        <f>Table1[[#This Row],[Death benefit pay probability]]/Table1[[#This Row],[unconditional persistency AT ISSUE]]</f>
        <v>5.4626176664461677E-3</v>
      </c>
      <c r="N53" s="44">
        <f>Table1[[#This Row],[one-year conditional mortality AT ISSUE]]/Table1[[#This Row],[one-year conditional persistency AT ISSUE]]</f>
        <v>5.4626176664461686E-3</v>
      </c>
      <c r="O53" s="4">
        <f>(1+$B$14)^(Table1[[#This Row],[age since issue]]-$A$17)</f>
        <v>3.4502661114559579</v>
      </c>
      <c r="P53" s="5">
        <f>(Table1[[#This Row],[level premium unmarked-up]]*Table1[[#This Row],[unconditional persistency AT ISSUE]]-Table1[[#This Row],[Death benefit pay probability]])</f>
        <v>-6.6703072967486674E-4</v>
      </c>
      <c r="Q53" s="4">
        <f>Table1[[#This Row],[Issuer profit with unmarked-up level premium]]/Table1[[#This Row],[Issuer discounter at issue]]</f>
        <v>-1.9332732842261557E-4</v>
      </c>
      <c r="R53" s="4">
        <f>(Table1[[#This Row],[variable premium unmarked up]]*Table1[[#This Row],[unconditional persistency AT ISSUE]]-Table1[[#This Row],[Death benefit pay probability]])</f>
        <v>0</v>
      </c>
      <c r="S53" s="6">
        <f>Table1[[#This Row],[level premium unmarked-up]]*(1+$B$15)</f>
        <v>1.9910109748700498E-3</v>
      </c>
      <c r="T53" s="6">
        <f>MIN(Table1[[#This Row],[variable premium unmarked up]]*(1+$B$15),1)</f>
        <v>5.4626176664461677E-3</v>
      </c>
      <c r="U53" s="6">
        <f>Table1[[#This Row],[level premium marked up]]-Table1[[#This Row],[variable premium marked up]]</f>
        <v>-3.4716066915761179E-3</v>
      </c>
      <c r="V53" s="6">
        <f>Table1[[#This Row],[additional cash]]+V52*(1+$D$2)</f>
        <v>1.3022019665610566E-2</v>
      </c>
      <c r="W53" s="12">
        <v>3.1199999999999999E-3</v>
      </c>
      <c r="X53" s="13">
        <f>1-Table1[[#This Row],[one-year conditional mortality NOW]]</f>
        <v>0.99687999999999999</v>
      </c>
      <c r="Y53" s="49">
        <f>PRODUCT(X$17:X53)</f>
        <v>0.96146662713898834</v>
      </c>
      <c r="Z53" s="13">
        <f>Table1[[#This Row],[one-year conditional survival NOW]]*(1-Table1[[#This Row],[Lapse rate]])</f>
        <v>0.96497983999999992</v>
      </c>
      <c r="AA53" s="13">
        <f>PRODUCT(Z$17:Z53)</f>
        <v>0.28653524192544388</v>
      </c>
      <c r="AB53" s="50">
        <f>Y52*Table1[[#This Row],[one-year conditional mortality NOW]]</f>
        <v>3.0091644698194801E-3</v>
      </c>
      <c r="AC53" s="14">
        <v>1.9699999999999999E-2</v>
      </c>
      <c r="AD53" s="28">
        <f>(1+Table1[[#This Row],[Yield curve now]])^(Table1[[#This Row],[age since issue]]-$A$23)</f>
        <v>1.7954469562503539</v>
      </c>
      <c r="AE53" s="46">
        <f t="shared" si="1"/>
        <v>0.16341569736864442</v>
      </c>
      <c r="AF53" s="42">
        <f>1-Table1[[#This Row],[cumulative debt until t]]</f>
        <v>0.83658430263135553</v>
      </c>
      <c r="AG53" s="46">
        <f>Table1[[#This Row],[cumulative debt until t]]*Table1[[#This Row],[Unconditional mortality NOW]]/Table1[[#This Row],[discouter with yield curve]]</f>
        <v>2.7388428748653573E-4</v>
      </c>
      <c r="AH53" s="48">
        <f>Table1[[#This Row],[Unconditional mortality NOW]]/Table1[[#This Row],[discouter with yield curve]]</f>
        <v>1.675997421892027E-3</v>
      </c>
      <c r="AI53" s="29">
        <f>Table1[[#This Row],[user profit (death benefit - debt)]]*Table1[[#This Row],[Unconditional mortality NOW]]/Table1[[#This Row],[discouter with yield curve]]</f>
        <v>1.402113134405491E-3</v>
      </c>
      <c r="AJ53" s="29">
        <f>(1+$D$4)^(Table1[[#This Row],[age since issue]]-$A$23)</f>
        <v>66.211771956785753</v>
      </c>
      <c r="AK53" s="57">
        <f>Table1[[#This Row],[level premium marked up]]*Table1[[#This Row],[unconditional survival NOW]]</f>
        <v>1.9142906066050159E-3</v>
      </c>
      <c r="AL53" s="62">
        <f>Table1[[#This Row],[cumulative debt until t]]*Table1[[#This Row],[Unconditional mortality NOW]]</f>
        <v>4.9174471033249748E-4</v>
      </c>
      <c r="AM53" s="47">
        <f>Table1[[#This Row],[probablistic premium stream]]/Table1[[#This Row],[lender discounter]]</f>
        <v>2.8911635348687095E-5</v>
      </c>
      <c r="AN53" s="58">
        <f>Table1[[#This Row],[probablistic repay from borrower]]/Table1[[#This Row],[lender discounter]]</f>
        <v>7.4268471572312413E-6</v>
      </c>
      <c r="AO53" s="47">
        <f>(Table1[[#This Row],[probablistic repay from borrower]]-Table1[[#This Row],[probablistic premium stream]])/Table1[[#This Row],[lender discounter]]</f>
        <v>-2.1484788191455852E-5</v>
      </c>
      <c r="AP53" s="46">
        <f>AP52*(1+$D$4)+ Table1[[#This Row],[level premium marked up]]</f>
        <v>0.99741072234277672</v>
      </c>
      <c r="AQ53" s="58">
        <f>AP53*Table1[[#This Row],[Unconditional mortality NOW]]</f>
        <v>3.0013729074908663E-3</v>
      </c>
      <c r="AR53" s="60">
        <f>Table1[[#This Row],[cumulative debt until t]]*Table1[[#This Row],[Unconditional mortality NOW]]</f>
        <v>4.9174471033249748E-4</v>
      </c>
      <c r="AS53" s="58">
        <f>Table1[[#This Row],[lender to pay cumulative probablistic undiscounted]]/Table1[[#This Row],[lender discounter]]</f>
        <v>4.5329898578303622E-5</v>
      </c>
    </row>
    <row r="54" spans="1:45" s="3" customFormat="1">
      <c r="A54" s="3">
        <v>58</v>
      </c>
      <c r="B54" s="8">
        <v>3.2000000000000001E-2</v>
      </c>
      <c r="C54" s="3">
        <v>0</v>
      </c>
      <c r="D54" s="8">
        <v>3.2000000000000001E-2</v>
      </c>
      <c r="E54" s="12">
        <v>5.8900000000000003E-3</v>
      </c>
      <c r="F54" s="13">
        <f>1-Table1[[#This Row],[one-year conditional mortality AT ISSUE]]</f>
        <v>0.99411000000000005</v>
      </c>
      <c r="G54" s="13">
        <f>PRODUCT(F$17:F54)</f>
        <v>0.93722280697185933</v>
      </c>
      <c r="H54" s="13">
        <f>Table1[[#This Row],[one-year conditional survival AT ISSUE]]*(1-Table1[[#This Row],[Lapse rate]])</f>
        <v>0.96229848000000007</v>
      </c>
      <c r="I54" s="13">
        <f>PRODUCT(H$17:H54)</f>
        <v>0.1848949821524854</v>
      </c>
      <c r="J54" s="13">
        <f>G53*Table1[[#This Row],[one-year conditional mortality AT ISSUE]]</f>
        <v>5.5529492038750754E-3</v>
      </c>
      <c r="K54" s="10">
        <f>I53*Table1[[#This Row],[one-year conditional mortality AT ISSUE]]</f>
        <v>1.1316981866978932E-3</v>
      </c>
      <c r="L54" s="3">
        <f t="shared" si="2"/>
        <v>1.9910109748700498E-3</v>
      </c>
      <c r="M54" s="44">
        <f>Table1[[#This Row],[Death benefit pay probability]]/Table1[[#This Row],[unconditional persistency AT ISSUE]]</f>
        <v>6.12076203217114E-3</v>
      </c>
      <c r="N54" s="44">
        <f>Table1[[#This Row],[one-year conditional mortality AT ISSUE]]/Table1[[#This Row],[one-year conditional persistency AT ISSUE]]</f>
        <v>6.1207620321711408E-3</v>
      </c>
      <c r="O54" s="4">
        <f>(1+$B$14)^(Table1[[#This Row],[age since issue]]-$A$17)</f>
        <v>3.571025425356916</v>
      </c>
      <c r="P54" s="5">
        <f>(Table1[[#This Row],[level premium unmarked-up]]*Table1[[#This Row],[unconditional persistency AT ISSUE]]-Table1[[#This Row],[Death benefit pay probability]])</f>
        <v>-7.6357024803389278E-4</v>
      </c>
      <c r="Q54" s="4">
        <f>Table1[[#This Row],[Issuer profit with unmarked-up level premium]]/Table1[[#This Row],[Issuer discounter at issue]]</f>
        <v>-2.1382380607317452E-4</v>
      </c>
      <c r="R54" s="4">
        <f>(Table1[[#This Row],[variable premium unmarked up]]*Table1[[#This Row],[unconditional persistency AT ISSUE]]-Table1[[#This Row],[Death benefit pay probability]])</f>
        <v>0</v>
      </c>
      <c r="S54" s="6">
        <f>Table1[[#This Row],[level premium unmarked-up]]*(1+$B$15)</f>
        <v>1.9910109748700498E-3</v>
      </c>
      <c r="T54" s="6">
        <f>MIN(Table1[[#This Row],[variable premium unmarked up]]*(1+$B$15),1)</f>
        <v>6.12076203217114E-3</v>
      </c>
      <c r="U54" s="6">
        <f>Table1[[#This Row],[level premium marked up]]-Table1[[#This Row],[variable premium marked up]]</f>
        <v>-4.1297510573010902E-3</v>
      </c>
      <c r="V54" s="6">
        <f>Table1[[#This Row],[additional cash]]+V53*(1+$D$2)</f>
        <v>8.9052906279750849E-3</v>
      </c>
      <c r="W54" s="12">
        <v>3.32E-3</v>
      </c>
      <c r="X54" s="13">
        <f>1-Table1[[#This Row],[one-year conditional mortality NOW]]</f>
        <v>0.99668000000000001</v>
      </c>
      <c r="Y54" s="49">
        <f>PRODUCT(X$17:X54)</f>
        <v>0.95827455793688687</v>
      </c>
      <c r="Z54" s="13">
        <f>Table1[[#This Row],[one-year conditional survival NOW]]*(1-Table1[[#This Row],[Lapse rate]])</f>
        <v>0.96478624000000002</v>
      </c>
      <c r="AA54" s="13">
        <f>PRODUCT(Z$17:Z54)</f>
        <v>0.27644525868473935</v>
      </c>
      <c r="AB54" s="50">
        <f>Y53*Table1[[#This Row],[one-year conditional mortality NOW]]</f>
        <v>3.1920692021014411E-3</v>
      </c>
      <c r="AC54" s="14">
        <v>1.9699999999999999E-2</v>
      </c>
      <c r="AD54" s="28">
        <f>(1+Table1[[#This Row],[Yield curve now]])^(Table1[[#This Row],[age since issue]]-$A$23)</f>
        <v>1.8308172612884857</v>
      </c>
      <c r="AE54" s="46">
        <f t="shared" si="1"/>
        <v>0.17514538089385709</v>
      </c>
      <c r="AF54" s="42">
        <f>1-Table1[[#This Row],[cumulative debt until t]]</f>
        <v>0.82485461910614288</v>
      </c>
      <c r="AG54" s="46">
        <f>Table1[[#This Row],[cumulative debt until t]]*Table1[[#This Row],[Unconditional mortality NOW]]/Table1[[#This Row],[discouter with yield curve]]</f>
        <v>3.0536973190221228E-4</v>
      </c>
      <c r="AH54" s="48">
        <f>Table1[[#This Row],[Unconditional mortality NOW]]/Table1[[#This Row],[discouter with yield curve]]</f>
        <v>1.7435214696713854E-3</v>
      </c>
      <c r="AI54" s="29">
        <f>Table1[[#This Row],[user profit (death benefit - debt)]]*Table1[[#This Row],[Unconditional mortality NOW]]/Table1[[#This Row],[discouter with yield curve]]</f>
        <v>1.4381517377691729E-3</v>
      </c>
      <c r="AJ54" s="29">
        <f>(1+$D$4)^(Table1[[#This Row],[age since issue]]-$A$23)</f>
        <v>76.143537750303594</v>
      </c>
      <c r="AK54" s="57">
        <f>Table1[[#This Row],[level premium marked up]]*Table1[[#This Row],[unconditional survival NOW]]</f>
        <v>1.9079351617910872E-3</v>
      </c>
      <c r="AL54" s="62">
        <f>Table1[[#This Row],[cumulative debt until t]]*Table1[[#This Row],[Unconditional mortality NOW]]</f>
        <v>5.5907617624160739E-4</v>
      </c>
      <c r="AM54" s="47">
        <f>Table1[[#This Row],[probablistic premium stream]]/Table1[[#This Row],[lender discounter]]</f>
        <v>2.5057085842895185E-5</v>
      </c>
      <c r="AN54" s="58">
        <f>Table1[[#This Row],[probablistic repay from borrower]]/Table1[[#This Row],[lender discounter]]</f>
        <v>7.3423982226171032E-6</v>
      </c>
      <c r="AO54" s="47">
        <f>(Table1[[#This Row],[probablistic repay from borrower]]-Table1[[#This Row],[probablistic premium stream]])/Table1[[#This Row],[lender discounter]]</f>
        <v>-1.771468762027808E-5</v>
      </c>
      <c r="AP54" s="46">
        <f>AP53*(1+$D$4)+ Table1[[#This Row],[level premium marked up]]</f>
        <v>1.1490133416690631</v>
      </c>
      <c r="AQ54" s="58">
        <f>AP54*Table1[[#This Row],[Unconditional mortality NOW]]</f>
        <v>3.6677301007454768E-3</v>
      </c>
      <c r="AR54" s="60">
        <f>Table1[[#This Row],[cumulative debt until t]]*Table1[[#This Row],[Unconditional mortality NOW]]</f>
        <v>5.5907617624160739E-4</v>
      </c>
      <c r="AS54" s="58">
        <f>Table1[[#This Row],[lender to pay cumulative probablistic undiscounted]]/Table1[[#This Row],[lender discounter]]</f>
        <v>4.816863267862614E-5</v>
      </c>
    </row>
    <row r="55" spans="1:45" s="3" customFormat="1">
      <c r="A55" s="3">
        <v>59</v>
      </c>
      <c r="B55" s="8">
        <v>3.2000000000000001E-2</v>
      </c>
      <c r="C55" s="3">
        <v>0</v>
      </c>
      <c r="D55" s="8">
        <v>3.2000000000000001E-2</v>
      </c>
      <c r="E55" s="12">
        <v>6.4099999999999999E-3</v>
      </c>
      <c r="F55" s="13">
        <f>1-Table1[[#This Row],[one-year conditional mortality AT ISSUE]]</f>
        <v>0.99358999999999997</v>
      </c>
      <c r="G55" s="13">
        <f>PRODUCT(F$17:F55)</f>
        <v>0.93121520877916975</v>
      </c>
      <c r="H55" s="13">
        <f>Table1[[#This Row],[one-year conditional survival AT ISSUE]]*(1-Table1[[#This Row],[Lapse rate]])</f>
        <v>0.96179511999999989</v>
      </c>
      <c r="I55" s="13">
        <f>PRODUCT(H$17:H55)</f>
        <v>0.17783109154674753</v>
      </c>
      <c r="J55" s="13">
        <f>G54*Table1[[#This Row],[one-year conditional mortality AT ISSUE]]</f>
        <v>6.007598192689618E-3</v>
      </c>
      <c r="K55" s="10">
        <f>I54*Table1[[#This Row],[one-year conditional mortality AT ISSUE]]</f>
        <v>1.1851768355974313E-3</v>
      </c>
      <c r="L55" s="3">
        <f t="shared" si="2"/>
        <v>1.9910109748700498E-3</v>
      </c>
      <c r="M55" s="44">
        <f>Table1[[#This Row],[Death benefit pay probability]]/Table1[[#This Row],[unconditional persistency AT ISSUE]]</f>
        <v>6.6646210473598581E-3</v>
      </c>
      <c r="N55" s="44">
        <f>Table1[[#This Row],[one-year conditional mortality AT ISSUE]]/Table1[[#This Row],[one-year conditional persistency AT ISSUE]]</f>
        <v>6.6646210473598581E-3</v>
      </c>
      <c r="O55" s="4">
        <f>(1+$B$14)^(Table1[[#This Row],[age since issue]]-$A$17)</f>
        <v>3.6960113152444083</v>
      </c>
      <c r="P55" s="5">
        <f>(Table1[[#This Row],[level premium unmarked-up]]*Table1[[#This Row],[unconditional persistency AT ISSUE]]-Table1[[#This Row],[Death benefit pay probability]])</f>
        <v>-8.3111318065473647E-4</v>
      </c>
      <c r="Q55" s="4">
        <f>Table1[[#This Row],[Issuer profit with unmarked-up level premium]]/Table1[[#This Row],[Issuer discounter at issue]]</f>
        <v>-2.2486759638066123E-4</v>
      </c>
      <c r="R55" s="4">
        <f>(Table1[[#This Row],[variable premium unmarked up]]*Table1[[#This Row],[unconditional persistency AT ISSUE]]-Table1[[#This Row],[Death benefit pay probability]])</f>
        <v>0</v>
      </c>
      <c r="S55" s="6">
        <f>Table1[[#This Row],[level premium unmarked-up]]*(1+$B$15)</f>
        <v>1.9910109748700498E-3</v>
      </c>
      <c r="T55" s="6">
        <f>MIN(Table1[[#This Row],[variable premium unmarked up]]*(1+$B$15),1)</f>
        <v>6.6646210473598581E-3</v>
      </c>
      <c r="U55" s="6">
        <f>Table1[[#This Row],[level premium marked up]]-Table1[[#This Row],[variable premium marked up]]</f>
        <v>-4.6736100724898083E-3</v>
      </c>
      <c r="V55" s="6">
        <f>Table1[[#This Row],[additional cash]]+V54*(1+$D$2)</f>
        <v>4.2405858461132514E-3</v>
      </c>
      <c r="W55" s="12">
        <v>3.5300000000000002E-3</v>
      </c>
      <c r="X55" s="13">
        <f>1-Table1[[#This Row],[one-year conditional mortality NOW]]</f>
        <v>0.99646999999999997</v>
      </c>
      <c r="Y55" s="49">
        <f>PRODUCT(X$17:X55)</f>
        <v>0.95489184874736965</v>
      </c>
      <c r="Z55" s="13">
        <f>Table1[[#This Row],[one-year conditional survival NOW]]*(1-Table1[[#This Row],[Lapse rate]])</f>
        <v>0.96458295999999999</v>
      </c>
      <c r="AA55" s="13">
        <f>PRODUCT(Z$17:Z55)</f>
        <v>0.26665438590009161</v>
      </c>
      <c r="AB55" s="50">
        <f>Y54*Table1[[#This Row],[one-year conditional mortality NOW]]</f>
        <v>3.3827091895172108E-3</v>
      </c>
      <c r="AC55" s="14">
        <v>1.9699999999999999E-2</v>
      </c>
      <c r="AD55" s="28">
        <f>(1+Table1[[#This Row],[Yield curve now]])^(Table1[[#This Row],[age since issue]]-$A$23)</f>
        <v>1.866884361335869</v>
      </c>
      <c r="AE55" s="46">
        <f t="shared" si="1"/>
        <v>0.1875656745407219</v>
      </c>
      <c r="AF55" s="42">
        <f>1-Table1[[#This Row],[cumulative debt until t]]</f>
        <v>0.81243432545927807</v>
      </c>
      <c r="AG55" s="46">
        <f>Table1[[#This Row],[cumulative debt until t]]*Table1[[#This Row],[Unconditional mortality NOW]]/Table1[[#This Row],[discouter with yield curve]]</f>
        <v>3.3986043487604413E-4</v>
      </c>
      <c r="AH55" s="48">
        <f>Table1[[#This Row],[Unconditional mortality NOW]]/Table1[[#This Row],[discouter with yield curve]]</f>
        <v>1.8119543232429658E-3</v>
      </c>
      <c r="AI55" s="29">
        <f>Table1[[#This Row],[user profit (death benefit - debt)]]*Table1[[#This Row],[Unconditional mortality NOW]]/Table1[[#This Row],[discouter with yield curve]]</f>
        <v>1.4720938883669215E-3</v>
      </c>
      <c r="AJ55" s="29">
        <f>(1+$D$4)^(Table1[[#This Row],[age since issue]]-$A$23)</f>
        <v>87.565068412849115</v>
      </c>
      <c r="AK55" s="57">
        <f>Table1[[#This Row],[level premium marked up]]*Table1[[#This Row],[unconditional survival NOW]]</f>
        <v>1.9012001506699646E-3</v>
      </c>
      <c r="AL55" s="62">
        <f>Table1[[#This Row],[cumulative debt until t]]*Table1[[#This Row],[Unconditional mortality NOW]]</f>
        <v>6.3448013090689436E-4</v>
      </c>
      <c r="AM55" s="47">
        <f>Table1[[#This Row],[probablistic premium stream]]/Table1[[#This Row],[lender discounter]]</f>
        <v>2.171185593901719E-5</v>
      </c>
      <c r="AN55" s="58">
        <f>Table1[[#This Row],[probablistic repay from borrower]]/Table1[[#This Row],[lender discounter]]</f>
        <v>7.2458132267477569E-6</v>
      </c>
      <c r="AO55" s="47">
        <f>(Table1[[#This Row],[probablistic repay from borrower]]-Table1[[#This Row],[probablistic premium stream]])/Table1[[#This Row],[lender discounter]]</f>
        <v>-1.4466042712269434E-5</v>
      </c>
      <c r="AP55" s="46">
        <f>AP54*(1+$D$4)+ Table1[[#This Row],[level premium marked up]]</f>
        <v>1.3233563538942925</v>
      </c>
      <c r="AQ55" s="58">
        <f>AP55*Table1[[#This Row],[Unconditional mortality NOW]]</f>
        <v>4.476529699324213E-3</v>
      </c>
      <c r="AR55" s="60">
        <f>Table1[[#This Row],[cumulative debt until t]]*Table1[[#This Row],[Unconditional mortality NOW]]</f>
        <v>6.3448013090689436E-4</v>
      </c>
      <c r="AS55" s="58">
        <f>Table1[[#This Row],[lender to pay cumulative probablistic undiscounted]]/Table1[[#This Row],[lender discounter]]</f>
        <v>5.1122322867589248E-5</v>
      </c>
    </row>
    <row r="56" spans="1:45" s="3" customFormat="1">
      <c r="A56" s="3">
        <v>60</v>
      </c>
      <c r="B56" s="8">
        <v>3.2000000000000001E-2</v>
      </c>
      <c r="C56" s="3">
        <v>0</v>
      </c>
      <c r="D56" s="8">
        <v>3.2000000000000001E-2</v>
      </c>
      <c r="E56" s="12">
        <v>7.0200000000000002E-3</v>
      </c>
      <c r="F56" s="13">
        <f>1-Table1[[#This Row],[one-year conditional mortality AT ISSUE]]</f>
        <v>0.99297999999999997</v>
      </c>
      <c r="G56" s="13">
        <f>PRODUCT(F$17:F56)</f>
        <v>0.92467807801353996</v>
      </c>
      <c r="H56" s="13">
        <f>Table1[[#This Row],[one-year conditional survival AT ISSUE]]*(1-Table1[[#This Row],[Lapse rate]])</f>
        <v>0.96120463999999994</v>
      </c>
      <c r="I56" s="13">
        <f>PRODUCT(H$17:H56)</f>
        <v>0.1709320703309985</v>
      </c>
      <c r="J56" s="13">
        <f>G55*Table1[[#This Row],[one-year conditional mortality AT ISSUE]]</f>
        <v>6.5371307656297718E-3</v>
      </c>
      <c r="K56" s="10">
        <f>I55*Table1[[#This Row],[one-year conditional mortality AT ISSUE]]</f>
        <v>1.2483742626581678E-3</v>
      </c>
      <c r="L56" s="3">
        <f t="shared" si="2"/>
        <v>1.9910109748700498E-3</v>
      </c>
      <c r="M56" s="44">
        <f>Table1[[#This Row],[Death benefit pay probability]]/Table1[[#This Row],[unconditional persistency AT ISSUE]]</f>
        <v>7.3033355311310204E-3</v>
      </c>
      <c r="N56" s="44">
        <f>Table1[[#This Row],[one-year conditional mortality AT ISSUE]]/Table1[[#This Row],[one-year conditional persistency AT ISSUE]]</f>
        <v>7.3033355311310196E-3</v>
      </c>
      <c r="O56" s="4">
        <f>(1+$B$14)^(Table1[[#This Row],[age since issue]]-$A$17)</f>
        <v>3.8253717112779619</v>
      </c>
      <c r="P56" s="5">
        <f>(Table1[[#This Row],[level premium unmarked-up]]*Table1[[#This Row],[unconditional persistency AT ISSUE]]-Table1[[#This Row],[Death benefit pay probability]])</f>
        <v>-9.0804663467189059E-4</v>
      </c>
      <c r="Q56" s="4">
        <f>Table1[[#This Row],[Issuer profit with unmarked-up level premium]]/Table1[[#This Row],[Issuer discounter at issue]]</f>
        <v>-2.3737474504628852E-4</v>
      </c>
      <c r="R56" s="4">
        <f>(Table1[[#This Row],[variable premium unmarked up]]*Table1[[#This Row],[unconditional persistency AT ISSUE]]-Table1[[#This Row],[Death benefit pay probability]])</f>
        <v>0</v>
      </c>
      <c r="S56" s="6">
        <f>Table1[[#This Row],[level premium unmarked-up]]*(1+$B$15)</f>
        <v>1.9910109748700498E-3</v>
      </c>
      <c r="T56" s="6">
        <f>MIN(Table1[[#This Row],[variable premium unmarked up]]*(1+$B$15),1)</f>
        <v>7.3033355311310204E-3</v>
      </c>
      <c r="U56" s="6">
        <f>Table1[[#This Row],[level premium marked up]]-Table1[[#This Row],[variable premium marked up]]</f>
        <v>-5.3123245562609707E-3</v>
      </c>
      <c r="V56" s="6">
        <f>Table1[[#This Row],[additional cash]]+V55*(1+$D$2)</f>
        <v>-1.0674981243016064E-3</v>
      </c>
      <c r="W56" s="12">
        <v>3.7799999999999999E-3</v>
      </c>
      <c r="X56" s="13">
        <f>1-Table1[[#This Row],[one-year conditional mortality NOW]]</f>
        <v>0.99621999999999999</v>
      </c>
      <c r="Y56" s="49">
        <f>PRODUCT(X$17:X56)</f>
        <v>0.95128235755910462</v>
      </c>
      <c r="Z56" s="13">
        <f>Table1[[#This Row],[one-year conditional survival NOW]]*(1-Table1[[#This Row],[Lapse rate]])</f>
        <v>0.96434095999999991</v>
      </c>
      <c r="AA56" s="13">
        <f>PRODUCT(Z$17:Z56)</f>
        <v>0.25714574648710475</v>
      </c>
      <c r="AB56" s="50">
        <f>Y55*Table1[[#This Row],[one-year conditional mortality NOW]]</f>
        <v>3.609491188265057E-3</v>
      </c>
      <c r="AC56" s="14">
        <v>1.9699999999999999E-2</v>
      </c>
      <c r="AD56" s="28">
        <f>(1+Table1[[#This Row],[Yield curve now]])^(Table1[[#This Row],[age since issue]]-$A$23)</f>
        <v>1.9036619832541857</v>
      </c>
      <c r="AE56" s="46">
        <f t="shared" si="1"/>
        <v>0.20071723945232112</v>
      </c>
      <c r="AF56" s="42">
        <f>1-Table1[[#This Row],[cumulative debt until t]]</f>
        <v>0.79928276054767888</v>
      </c>
      <c r="AG56" s="46">
        <f>Table1[[#This Row],[cumulative debt until t]]*Table1[[#This Row],[Unconditional mortality NOW]]/Table1[[#This Row],[discouter with yield curve]]</f>
        <v>3.8057549791354093E-4</v>
      </c>
      <c r="AH56" s="48">
        <f>Table1[[#This Row],[Unconditional mortality NOW]]/Table1[[#This Row],[discouter with yield curve]]</f>
        <v>1.8960777806230431E-3</v>
      </c>
      <c r="AI56" s="29">
        <f>Table1[[#This Row],[user profit (death benefit - debt)]]*Table1[[#This Row],[Unconditional mortality NOW]]/Table1[[#This Row],[discouter with yield curve]]</f>
        <v>1.515502282709502E-3</v>
      </c>
      <c r="AJ56" s="29">
        <f>(1+$D$4)^(Table1[[#This Row],[age since issue]]-$A$23)</f>
        <v>100.69982867477647</v>
      </c>
      <c r="AK56" s="57">
        <f>Table1[[#This Row],[level premium marked up]]*Table1[[#This Row],[unconditional survival NOW]]</f>
        <v>1.8940136141004321E-3</v>
      </c>
      <c r="AL56" s="62">
        <f>Table1[[#This Row],[cumulative debt until t]]*Table1[[#This Row],[Unconditional mortality NOW]]</f>
        <v>7.2448710713604049E-4</v>
      </c>
      <c r="AM56" s="47">
        <f>Table1[[#This Row],[probablistic premium stream]]/Table1[[#This Row],[lender discounter]]</f>
        <v>1.8808508803102356E-5</v>
      </c>
      <c r="AN56" s="58">
        <f>Table1[[#This Row],[probablistic repay from borrower]]/Table1[[#This Row],[lender discounter]]</f>
        <v>7.1945217451746445E-6</v>
      </c>
      <c r="AO56" s="47">
        <f>(Table1[[#This Row],[probablistic repay from borrower]]-Table1[[#This Row],[probablistic premium stream]])/Table1[[#This Row],[lender discounter]]</f>
        <v>-1.161398705792771E-5</v>
      </c>
      <c r="AP56" s="46">
        <f>AP55*(1+$D$4)+ Table1[[#This Row],[level premium marked up]]</f>
        <v>1.5238508179533063</v>
      </c>
      <c r="AQ56" s="58">
        <f>AP56*Table1[[#This Row],[Unconditional mortality NOW]]</f>
        <v>5.5003260996329588E-3</v>
      </c>
      <c r="AR56" s="60">
        <f>Table1[[#This Row],[cumulative debt until t]]*Table1[[#This Row],[Unconditional mortality NOW]]</f>
        <v>7.2448710713604049E-4</v>
      </c>
      <c r="AS56" s="58">
        <f>Table1[[#This Row],[lender to pay cumulative probablistic undiscounted]]/Table1[[#This Row],[lender discounter]]</f>
        <v>5.4621007523230212E-5</v>
      </c>
    </row>
    <row r="57" spans="1:45" s="3" customFormat="1">
      <c r="A57" s="3">
        <v>61</v>
      </c>
      <c r="B57" s="8">
        <v>3.2000000000000001E-2</v>
      </c>
      <c r="C57" s="3">
        <v>0</v>
      </c>
      <c r="D57" s="8">
        <v>3.2000000000000001E-2</v>
      </c>
      <c r="E57" s="12">
        <v>7.7600000000000004E-3</v>
      </c>
      <c r="F57" s="13">
        <f>1-Table1[[#This Row],[one-year conditional mortality AT ISSUE]]</f>
        <v>0.99224000000000001</v>
      </c>
      <c r="G57" s="13">
        <f>PRODUCT(F$17:F57)</f>
        <v>0.91750257612815489</v>
      </c>
      <c r="H57" s="13">
        <f>Table1[[#This Row],[one-year conditional survival AT ISSUE]]*(1-Table1[[#This Row],[Lapse rate]])</f>
        <v>0.96048831999999995</v>
      </c>
      <c r="I57" s="13">
        <f>PRODUCT(H$17:H57)</f>
        <v>0.16417825706634259</v>
      </c>
      <c r="J57" s="13">
        <f>G56*Table1[[#This Row],[one-year conditional mortality AT ISSUE]]</f>
        <v>7.1755018853850707E-3</v>
      </c>
      <c r="K57" s="10">
        <f>I56*Table1[[#This Row],[one-year conditional mortality AT ISSUE]]</f>
        <v>1.3264328657685484E-3</v>
      </c>
      <c r="L57" s="3">
        <f t="shared" si="2"/>
        <v>1.9910109748700498E-3</v>
      </c>
      <c r="M57" s="44">
        <f>Table1[[#This Row],[Death benefit pay probability]]/Table1[[#This Row],[unconditional persistency AT ISSUE]]</f>
        <v>8.0792237015438161E-3</v>
      </c>
      <c r="N57" s="44">
        <f>Table1[[#This Row],[one-year conditional mortality AT ISSUE]]/Table1[[#This Row],[one-year conditional persistency AT ISSUE]]</f>
        <v>8.0792237015438161E-3</v>
      </c>
      <c r="O57" s="4">
        <f>(1+$B$14)^(Table1[[#This Row],[age since issue]]-$A$17)</f>
        <v>3.9592597211726899</v>
      </c>
      <c r="P57" s="5">
        <f>(Table1[[#This Row],[level premium unmarked-up]]*Table1[[#This Row],[unconditional persistency AT ISSUE]]-Table1[[#This Row],[Death benefit pay probability]])</f>
        <v>-9.9955215411442404E-4</v>
      </c>
      <c r="Q57" s="4">
        <f>Table1[[#This Row],[Issuer profit with unmarked-up level premium]]/Table1[[#This Row],[Issuer discounter at issue]]</f>
        <v>-2.5245935465389665E-4</v>
      </c>
      <c r="R57" s="4">
        <f>(Table1[[#This Row],[variable premium unmarked up]]*Table1[[#This Row],[unconditional persistency AT ISSUE]]-Table1[[#This Row],[Death benefit pay probability]])</f>
        <v>2.1684043449710089E-19</v>
      </c>
      <c r="S57" s="6">
        <f>Table1[[#This Row],[level premium unmarked-up]]*(1+$B$15)</f>
        <v>1.9910109748700498E-3</v>
      </c>
      <c r="T57" s="6">
        <f>MIN(Table1[[#This Row],[variable premium unmarked up]]*(1+$B$15),1)</f>
        <v>8.0792237015438161E-3</v>
      </c>
      <c r="U57" s="6">
        <f>Table1[[#This Row],[level premium marked up]]-Table1[[#This Row],[variable premium marked up]]</f>
        <v>-6.0882127266737663E-3</v>
      </c>
      <c r="V57" s="6">
        <f>Table1[[#This Row],[additional cash]]+V56*(1+$D$2)</f>
        <v>-7.1567783490996744E-3</v>
      </c>
      <c r="W57" s="12">
        <v>4.0800000000000003E-3</v>
      </c>
      <c r="X57" s="13">
        <f>1-Table1[[#This Row],[one-year conditional mortality NOW]]</f>
        <v>0.99592000000000003</v>
      </c>
      <c r="Y57" s="49">
        <f>PRODUCT(X$17:X57)</f>
        <v>0.94740112554026346</v>
      </c>
      <c r="Z57" s="13">
        <f>Table1[[#This Row],[one-year conditional survival NOW]]*(1-Table1[[#This Row],[Lapse rate]])</f>
        <v>0.96405056</v>
      </c>
      <c r="AA57" s="13">
        <f>PRODUCT(Z$17:Z57)</f>
        <v>0.24790150090251137</v>
      </c>
      <c r="AB57" s="50">
        <f>Y56*Table1[[#This Row],[one-year conditional mortality NOW]]</f>
        <v>3.881232018841147E-3</v>
      </c>
      <c r="AC57" s="14">
        <v>1.9699999999999999E-2</v>
      </c>
      <c r="AD57" s="28">
        <f>(1+Table1[[#This Row],[Yield curve now]])^(Table1[[#This Row],[age since issue]]-$A$23)</f>
        <v>1.9411641243242932</v>
      </c>
      <c r="AE57" s="46">
        <f t="shared" si="1"/>
        <v>0.21464313078321312</v>
      </c>
      <c r="AF57" s="42">
        <f>1-Table1[[#This Row],[cumulative debt until t]]</f>
        <v>0.78535686921678693</v>
      </c>
      <c r="AG57" s="46">
        <f>Table1[[#This Row],[cumulative debt until t]]*Table1[[#This Row],[Unconditional mortality NOW]]/Table1[[#This Row],[discouter with yield curve]]</f>
        <v>4.2916504657230072E-4</v>
      </c>
      <c r="AH57" s="48">
        <f>Table1[[#This Row],[Unconditional mortality NOW]]/Table1[[#This Row],[discouter with yield curve]]</f>
        <v>1.999435271961962E-3</v>
      </c>
      <c r="AI57" s="29">
        <f>Table1[[#This Row],[user profit (death benefit - debt)]]*Table1[[#This Row],[Unconditional mortality NOW]]/Table1[[#This Row],[discouter with yield curve]]</f>
        <v>1.5702702253896615E-3</v>
      </c>
      <c r="AJ57" s="29">
        <f>(1+$D$4)^(Table1[[#This Row],[age since issue]]-$A$23)</f>
        <v>115.80480297599294</v>
      </c>
      <c r="AK57" s="57">
        <f>Table1[[#This Row],[level premium marked up]]*Table1[[#This Row],[unconditional survival NOW]]</f>
        <v>1.8862860385549024E-3</v>
      </c>
      <c r="AL57" s="62">
        <f>Table1[[#This Row],[cumulative debt until t]]*Table1[[#This Row],[Unconditional mortality NOW]]</f>
        <v>8.330797918201146E-4</v>
      </c>
      <c r="AM57" s="47">
        <f>Table1[[#This Row],[probablistic premium stream]]/Table1[[#This Row],[lender discounter]]</f>
        <v>1.6288495727987564E-5</v>
      </c>
      <c r="AN57" s="58">
        <f>Table1[[#This Row],[probablistic repay from borrower]]/Table1[[#This Row],[lender discounter]]</f>
        <v>7.1938276341855804E-6</v>
      </c>
      <c r="AO57" s="47">
        <f>(Table1[[#This Row],[probablistic repay from borrower]]-Table1[[#This Row],[probablistic premium stream]])/Table1[[#This Row],[lender discounter]]</f>
        <v>-9.0946680938019807E-6</v>
      </c>
      <c r="AP57" s="46">
        <f>AP56*(1+$D$4)+ Table1[[#This Row],[level premium marked up]]</f>
        <v>1.7544194516211722</v>
      </c>
      <c r="AQ57" s="58">
        <f>AP57*Table1[[#This Row],[Unconditional mortality NOW]]</f>
        <v>6.8093089501098198E-3</v>
      </c>
      <c r="AR57" s="60">
        <f>Table1[[#This Row],[cumulative debt until t]]*Table1[[#This Row],[Unconditional mortality NOW]]</f>
        <v>8.330797918201146E-4</v>
      </c>
      <c r="AS57" s="58">
        <f>Table1[[#This Row],[lender to pay cumulative probablistic undiscounted]]/Table1[[#This Row],[lender discounter]]</f>
        <v>5.8799883727805592E-5</v>
      </c>
    </row>
    <row r="58" spans="1:45" s="3" customFormat="1">
      <c r="A58" s="3">
        <v>62</v>
      </c>
      <c r="B58" s="8">
        <v>3.2000000000000001E-2</v>
      </c>
      <c r="C58" s="3">
        <v>0</v>
      </c>
      <c r="D58" s="8">
        <v>3.2000000000000001E-2</v>
      </c>
      <c r="E58" s="12">
        <v>8.6700000000000006E-3</v>
      </c>
      <c r="F58" s="13">
        <f>1-Table1[[#This Row],[one-year conditional mortality AT ISSUE]]</f>
        <v>0.99133000000000004</v>
      </c>
      <c r="G58" s="13">
        <f>PRODUCT(F$17:F58)</f>
        <v>0.90954782879312379</v>
      </c>
      <c r="H58" s="13">
        <f>Table1[[#This Row],[one-year conditional survival AT ISSUE]]*(1-Table1[[#This Row],[Lapse rate]])</f>
        <v>0.95960743999999998</v>
      </c>
      <c r="I58" s="13">
        <f>PRODUCT(H$17:H58)</f>
        <v>0.15754667696709493</v>
      </c>
      <c r="J58" s="13">
        <f>G57*Table1[[#This Row],[one-year conditional mortality AT ISSUE]]</f>
        <v>7.9547473350311034E-3</v>
      </c>
      <c r="K58" s="10">
        <f>I57*Table1[[#This Row],[one-year conditional mortality AT ISSUE]]</f>
        <v>1.4234254887651903E-3</v>
      </c>
      <c r="L58" s="3">
        <f t="shared" si="2"/>
        <v>1.9910109748700498E-3</v>
      </c>
      <c r="M58" s="44">
        <f>Table1[[#This Row],[Death benefit pay probability]]/Table1[[#This Row],[unconditional persistency AT ISSUE]]</f>
        <v>9.034944539404571E-3</v>
      </c>
      <c r="N58" s="44">
        <f>Table1[[#This Row],[one-year conditional mortality AT ISSUE]]/Table1[[#This Row],[one-year conditional persistency AT ISSUE]]</f>
        <v>9.0349445394045727E-3</v>
      </c>
      <c r="O58" s="4">
        <f>(1+$B$14)^(Table1[[#This Row],[age since issue]]-$A$17)</f>
        <v>4.0978338114137332</v>
      </c>
      <c r="P58" s="5">
        <f>(Table1[[#This Row],[level premium unmarked-up]]*Table1[[#This Row],[unconditional persistency AT ISSUE]]-Table1[[#This Row],[Death benefit pay probability]])</f>
        <v>-1.1097483258693977E-3</v>
      </c>
      <c r="Q58" s="4">
        <f>Table1[[#This Row],[Issuer profit with unmarked-up level premium]]/Table1[[#This Row],[Issuer discounter at issue]]</f>
        <v>-2.708134045793672E-4</v>
      </c>
      <c r="R58" s="4">
        <f>(Table1[[#This Row],[variable premium unmarked up]]*Table1[[#This Row],[unconditional persistency AT ISSUE]]-Table1[[#This Row],[Death benefit pay probability]])</f>
        <v>0</v>
      </c>
      <c r="S58" s="6">
        <f>Table1[[#This Row],[level premium unmarked-up]]*(1+$B$15)</f>
        <v>1.9910109748700498E-3</v>
      </c>
      <c r="T58" s="6">
        <f>MIN(Table1[[#This Row],[variable premium unmarked up]]*(1+$B$15),1)</f>
        <v>9.034944539404571E-3</v>
      </c>
      <c r="U58" s="6">
        <f>Table1[[#This Row],[level premium marked up]]-Table1[[#This Row],[variable premium marked up]]</f>
        <v>-7.0439335645345212E-3</v>
      </c>
      <c r="V58" s="6">
        <f>Table1[[#This Row],[additional cash]]+V57*(1+$D$2)</f>
        <v>-1.4207868691983296E-2</v>
      </c>
      <c r="W58" s="12">
        <v>4.4799999999999996E-3</v>
      </c>
      <c r="X58" s="13">
        <f>1-Table1[[#This Row],[one-year conditional mortality NOW]]</f>
        <v>0.99551999999999996</v>
      </c>
      <c r="Y58" s="49">
        <f>PRODUCT(X$17:X58)</f>
        <v>0.94315676849784302</v>
      </c>
      <c r="Z58" s="13">
        <f>Table1[[#This Row],[one-year conditional survival NOW]]*(1-Table1[[#This Row],[Lapse rate]])</f>
        <v>0.96366335999999997</v>
      </c>
      <c r="AA58" s="13">
        <f>PRODUCT(Z$17:Z58)</f>
        <v>0.23889359330875712</v>
      </c>
      <c r="AB58" s="50">
        <f>Y57*Table1[[#This Row],[one-year conditional mortality NOW]]</f>
        <v>4.2443570424203795E-3</v>
      </c>
      <c r="AC58" s="14">
        <v>1.9699999999999999E-2</v>
      </c>
      <c r="AD58" s="28">
        <f>(1+Table1[[#This Row],[Yield curve now]])^(Table1[[#This Row],[age since issue]]-$A$23)</f>
        <v>1.9794050575734816</v>
      </c>
      <c r="AE58" s="46">
        <f t="shared" si="1"/>
        <v>0.22938893865196136</v>
      </c>
      <c r="AF58" s="42">
        <f>1-Table1[[#This Row],[cumulative debt until t]]</f>
        <v>0.77061106134803858</v>
      </c>
      <c r="AG58" s="46">
        <f>Table1[[#This Row],[cumulative debt until t]]*Table1[[#This Row],[Unconditional mortality NOW]]/Table1[[#This Row],[discouter with yield curve]]</f>
        <v>4.9186928844888297E-4</v>
      </c>
      <c r="AH58" s="48">
        <f>Table1[[#This Row],[Unconditional mortality NOW]]/Table1[[#This Row],[discouter with yield curve]]</f>
        <v>2.1442589661882865E-3</v>
      </c>
      <c r="AI58" s="29">
        <f>Table1[[#This Row],[user profit (death benefit - debt)]]*Table1[[#This Row],[Unconditional mortality NOW]]/Table1[[#This Row],[discouter with yield curve]]</f>
        <v>1.6523896777394034E-3</v>
      </c>
      <c r="AJ58" s="29">
        <f>(1+$D$4)^(Table1[[#This Row],[age since issue]]-$A$23)</f>
        <v>133.17552342239185</v>
      </c>
      <c r="AK58" s="57">
        <f>Table1[[#This Row],[level premium marked up]]*Table1[[#This Row],[unconditional survival NOW]]</f>
        <v>1.8778354771021764E-3</v>
      </c>
      <c r="AL58" s="62">
        <f>Table1[[#This Row],[cumulative debt until t]]*Table1[[#This Row],[Unconditional mortality NOW]]</f>
        <v>9.7360855722078855E-4</v>
      </c>
      <c r="AM58" s="47">
        <f>Table1[[#This Row],[probablistic premium stream]]/Table1[[#This Row],[lender discounter]]</f>
        <v>1.4100455014892332E-5</v>
      </c>
      <c r="AN58" s="58">
        <f>Table1[[#This Row],[probablistic repay from borrower]]/Table1[[#This Row],[lender discounter]]</f>
        <v>7.3107169560941115E-6</v>
      </c>
      <c r="AO58" s="47">
        <f>(Table1[[#This Row],[probablistic repay from borrower]]-Table1[[#This Row],[probablistic premium stream]])/Table1[[#This Row],[lender discounter]]</f>
        <v>-6.7897380587982212E-6</v>
      </c>
      <c r="AP58" s="46">
        <f>AP57*(1+$D$4)+ Table1[[#This Row],[level premium marked up]]</f>
        <v>2.0195733803392182</v>
      </c>
      <c r="AQ58" s="58">
        <f>AP58*Table1[[#This Row],[Unconditional mortality NOW]]</f>
        <v>8.5717904995274916E-3</v>
      </c>
      <c r="AR58" s="60">
        <f>Table1[[#This Row],[cumulative debt until t]]*Table1[[#This Row],[Unconditional mortality NOW]]</f>
        <v>9.7360855722078855E-4</v>
      </c>
      <c r="AS58" s="58">
        <f>Table1[[#This Row],[lender to pay cumulative probablistic undiscounted]]/Table1[[#This Row],[lender discounter]]</f>
        <v>6.4364609045615735E-5</v>
      </c>
    </row>
    <row r="59" spans="1:45" s="3" customFormat="1">
      <c r="A59" s="3">
        <v>63</v>
      </c>
      <c r="B59" s="8">
        <v>3.2000000000000001E-2</v>
      </c>
      <c r="C59" s="3">
        <v>0</v>
      </c>
      <c r="D59" s="8">
        <v>3.2000000000000001E-2</v>
      </c>
      <c r="E59" s="12">
        <v>9.7999999999999997E-3</v>
      </c>
      <c r="F59" s="13">
        <f>1-Table1[[#This Row],[one-year conditional mortality AT ISSUE]]</f>
        <v>0.99019999999999997</v>
      </c>
      <c r="G59" s="13">
        <f>PRODUCT(F$17:F59)</f>
        <v>0.90063426007095115</v>
      </c>
      <c r="H59" s="13">
        <f>Table1[[#This Row],[one-year conditional survival AT ISSUE]]*(1-Table1[[#This Row],[Lapse rate]])</f>
        <v>0.95851359999999997</v>
      </c>
      <c r="I59" s="13">
        <f>PRODUCT(H$17:H59)</f>
        <v>0.15101063250776722</v>
      </c>
      <c r="J59" s="13">
        <f>G58*Table1[[#This Row],[one-year conditional mortality AT ISSUE]]</f>
        <v>8.9135687221726136E-3</v>
      </c>
      <c r="K59" s="10">
        <f>I58*Table1[[#This Row],[one-year conditional mortality AT ISSUE]]</f>
        <v>1.5439574342775303E-3</v>
      </c>
      <c r="L59" s="3">
        <f t="shared" si="2"/>
        <v>1.9910109748700498E-3</v>
      </c>
      <c r="M59" s="44">
        <f>Table1[[#This Row],[Death benefit pay probability]]/Table1[[#This Row],[unconditional persistency AT ISSUE]]</f>
        <v>1.0224163746868069E-2</v>
      </c>
      <c r="N59" s="44">
        <f>Table1[[#This Row],[one-year conditional mortality AT ISSUE]]/Table1[[#This Row],[one-year conditional persistency AT ISSUE]]</f>
        <v>1.0224163746868067E-2</v>
      </c>
      <c r="O59" s="4">
        <f>(1+$B$14)^(Table1[[#This Row],[age since issue]]-$A$17)</f>
        <v>4.2412579948132141</v>
      </c>
      <c r="P59" s="5">
        <f>(Table1[[#This Row],[level premium unmarked-up]]*Table1[[#This Row],[unconditional persistency AT ISSUE]]-Table1[[#This Row],[Death benefit pay probability]])</f>
        <v>-1.2432936076324978E-3</v>
      </c>
      <c r="Q59" s="4">
        <f>Table1[[#This Row],[Issuer profit with unmarked-up level premium]]/Table1[[#This Row],[Issuer discounter at issue]]</f>
        <v>-2.9314264992909322E-4</v>
      </c>
      <c r="R59" s="4">
        <f>(Table1[[#This Row],[variable premium unmarked up]]*Table1[[#This Row],[unconditional persistency AT ISSUE]]-Table1[[#This Row],[Death benefit pay probability]])</f>
        <v>0</v>
      </c>
      <c r="S59" s="6">
        <f>Table1[[#This Row],[level premium unmarked-up]]*(1+$B$15)</f>
        <v>1.9910109748700498E-3</v>
      </c>
      <c r="T59" s="6">
        <f>MIN(Table1[[#This Row],[variable premium unmarked up]]*(1+$B$15),1)</f>
        <v>1.0224163746868069E-2</v>
      </c>
      <c r="U59" s="6">
        <f>Table1[[#This Row],[level premium marked up]]-Table1[[#This Row],[variable premium marked up]]</f>
        <v>-8.2331527719980181E-3</v>
      </c>
      <c r="V59" s="6">
        <f>Table1[[#This Row],[additional cash]]+V58*(1+$D$2)</f>
        <v>-2.2455229332673295E-2</v>
      </c>
      <c r="W59" s="12">
        <v>4.9899999999999996E-3</v>
      </c>
      <c r="X59" s="13">
        <f>1-Table1[[#This Row],[one-year conditional mortality NOW]]</f>
        <v>0.99500999999999995</v>
      </c>
      <c r="Y59" s="49">
        <f>PRODUCT(X$17:X59)</f>
        <v>0.93845041622303871</v>
      </c>
      <c r="Z59" s="13">
        <f>Table1[[#This Row],[one-year conditional survival NOW]]*(1-Table1[[#This Row],[Lapse rate]])</f>
        <v>0.96316967999999992</v>
      </c>
      <c r="AA59" s="13">
        <f>PRODUCT(Z$17:Z59)</f>
        <v>0.23009506582124573</v>
      </c>
      <c r="AB59" s="50">
        <f>Y58*Table1[[#This Row],[one-year conditional mortality NOW]]</f>
        <v>4.7063522748042362E-3</v>
      </c>
      <c r="AC59" s="14">
        <v>1.9699999999999999E-2</v>
      </c>
      <c r="AD59" s="28">
        <f>(1+Table1[[#This Row],[Yield curve now]])^(Table1[[#This Row],[age since issue]]-$A$23)</f>
        <v>2.0183993372076796</v>
      </c>
      <c r="AE59" s="46">
        <f t="shared" si="1"/>
        <v>0.24500293739254395</v>
      </c>
      <c r="AF59" s="42">
        <f>1-Table1[[#This Row],[cumulative debt until t]]</f>
        <v>0.75499706260745603</v>
      </c>
      <c r="AG59" s="46">
        <f>Table1[[#This Row],[cumulative debt until t]]*Table1[[#This Row],[Unconditional mortality NOW]]/Table1[[#This Row],[discouter with yield curve]]</f>
        <v>5.712794839332014E-4</v>
      </c>
      <c r="AH59" s="48">
        <f>Table1[[#This Row],[Unconditional mortality NOW]]/Table1[[#This Row],[discouter with yield curve]]</f>
        <v>2.3317250397610415E-3</v>
      </c>
      <c r="AI59" s="29">
        <f>Table1[[#This Row],[user profit (death benefit - debt)]]*Table1[[#This Row],[Unconditional mortality NOW]]/Table1[[#This Row],[discouter with yield curve]]</f>
        <v>1.7604455558278399E-3</v>
      </c>
      <c r="AJ59" s="29">
        <f>(1+$D$4)^(Table1[[#This Row],[age since issue]]-$A$23)</f>
        <v>153.15185193575064</v>
      </c>
      <c r="AK59" s="57">
        <f>Table1[[#This Row],[level premium marked up]]*Table1[[#This Row],[unconditional survival NOW]]</f>
        <v>1.8684650780714364E-3</v>
      </c>
      <c r="AL59" s="62">
        <f>Table1[[#This Row],[cumulative debt until t]]*Table1[[#This Row],[Unconditional mortality NOW]]</f>
        <v>1.153070131731119E-3</v>
      </c>
      <c r="AM59" s="47">
        <f>Table1[[#This Row],[probablistic premium stream]]/Table1[[#This Row],[lender discounter]]</f>
        <v>1.2200081516841754E-5</v>
      </c>
      <c r="AN59" s="58">
        <f>Table1[[#This Row],[probablistic repay from borrower]]/Table1[[#This Row],[lender discounter]]</f>
        <v>7.5289336508633806E-6</v>
      </c>
      <c r="AO59" s="47">
        <f>(Table1[[#This Row],[probablistic repay from borrower]]-Table1[[#This Row],[probablistic premium stream]])/Table1[[#This Row],[lender discounter]]</f>
        <v>-4.6711478659783734E-6</v>
      </c>
      <c r="AP59" s="46">
        <f>AP58*(1+$D$4)+ Table1[[#This Row],[level premium marked up]]</f>
        <v>2.3245003983649708</v>
      </c>
      <c r="AQ59" s="58">
        <f>AP59*Table1[[#This Row],[Unconditional mortality NOW]]</f>
        <v>1.0939917737628334E-2</v>
      </c>
      <c r="AR59" s="60">
        <f>Table1[[#This Row],[cumulative debt until t]]*Table1[[#This Row],[Unconditional mortality NOW]]</f>
        <v>1.153070131731119E-3</v>
      </c>
      <c r="AS59" s="58">
        <f>Table1[[#This Row],[lender to pay cumulative probablistic undiscounted]]/Table1[[#This Row],[lender discounter]]</f>
        <v>7.1431834479009657E-5</v>
      </c>
    </row>
    <row r="60" spans="1:45" s="3" customFormat="1">
      <c r="A60" s="3">
        <v>64</v>
      </c>
      <c r="B60" s="8">
        <v>3.2000000000000001E-2</v>
      </c>
      <c r="C60" s="3">
        <v>0</v>
      </c>
      <c r="D60" s="8">
        <v>3.2000000000000001E-2</v>
      </c>
      <c r="E60" s="12">
        <v>1.107E-2</v>
      </c>
      <c r="F60" s="13">
        <f>1-Table1[[#This Row],[one-year conditional mortality AT ISSUE]]</f>
        <v>0.98892999999999998</v>
      </c>
      <c r="G60" s="13">
        <f>PRODUCT(F$17:F60)</f>
        <v>0.89066423881196566</v>
      </c>
      <c r="H60" s="13">
        <f>Table1[[#This Row],[one-year conditional survival AT ISSUE]]*(1-Table1[[#This Row],[Lapse rate]])</f>
        <v>0.9572842399999999</v>
      </c>
      <c r="I60" s="13">
        <f>PRODUCT(H$17:H60)</f>
        <v>0.14456009857211721</v>
      </c>
      <c r="J60" s="13">
        <f>G59*Table1[[#This Row],[one-year conditional mortality AT ISSUE]]</f>
        <v>9.9700212589854294E-3</v>
      </c>
      <c r="K60" s="10">
        <f>I59*Table1[[#This Row],[one-year conditional mortality AT ISSUE]]</f>
        <v>1.6716877018609832E-3</v>
      </c>
      <c r="L60" s="3">
        <f t="shared" si="2"/>
        <v>1.9910109748700498E-3</v>
      </c>
      <c r="M60" s="44">
        <f>Table1[[#This Row],[Death benefit pay probability]]/Table1[[#This Row],[unconditional persistency AT ISSUE]]</f>
        <v>1.1563963489046892E-2</v>
      </c>
      <c r="N60" s="44">
        <f>Table1[[#This Row],[one-year conditional mortality AT ISSUE]]/Table1[[#This Row],[one-year conditional persistency AT ISSUE]]</f>
        <v>1.1563963489046892E-2</v>
      </c>
      <c r="O60" s="4">
        <f>(1+$B$14)^(Table1[[#This Row],[age since issue]]-$A$17)</f>
        <v>4.3897020246316769</v>
      </c>
      <c r="P60" s="5">
        <f>(Table1[[#This Row],[level premium unmarked-up]]*Table1[[#This Row],[unconditional persistency AT ISSUE]]-Table1[[#This Row],[Death benefit pay probability]])</f>
        <v>-1.3838669590756016E-3</v>
      </c>
      <c r="Q60" s="4">
        <f>Table1[[#This Row],[Issuer profit with unmarked-up level premium]]/Table1[[#This Row],[Issuer discounter at issue]]</f>
        <v>-3.152530516445969E-4</v>
      </c>
      <c r="R60" s="4">
        <f>(Table1[[#This Row],[variable premium unmarked up]]*Table1[[#This Row],[unconditional persistency AT ISSUE]]-Table1[[#This Row],[Death benefit pay probability]])</f>
        <v>0</v>
      </c>
      <c r="S60" s="6">
        <f>Table1[[#This Row],[level premium unmarked-up]]*(1+$B$15)</f>
        <v>1.9910109748700498E-3</v>
      </c>
      <c r="T60" s="6">
        <f>MIN(Table1[[#This Row],[variable premium unmarked up]]*(1+$B$15),1)</f>
        <v>1.1563963489046892E-2</v>
      </c>
      <c r="U60" s="6">
        <f>Table1[[#This Row],[level premium marked up]]-Table1[[#This Row],[variable premium marked up]]</f>
        <v>-9.5729525141768426E-3</v>
      </c>
      <c r="V60" s="6">
        <f>Table1[[#This Row],[additional cash]]+V59*(1+$D$2)</f>
        <v>-3.205063707618281E-2</v>
      </c>
      <c r="W60" s="12">
        <v>5.5599999999999998E-3</v>
      </c>
      <c r="X60" s="13">
        <f>1-Table1[[#This Row],[one-year conditional mortality NOW]]</f>
        <v>0.99443999999999999</v>
      </c>
      <c r="Y60" s="49">
        <f>PRODUCT(X$17:X60)</f>
        <v>0.93323263190883865</v>
      </c>
      <c r="Z60" s="13">
        <f>Table1[[#This Row],[one-year conditional survival NOW]]*(1-Table1[[#This Row],[Lapse rate]])</f>
        <v>0.96261792000000002</v>
      </c>
      <c r="AA60" s="13">
        <f>PRODUCT(Z$17:Z60)</f>
        <v>0.22149363366311065</v>
      </c>
      <c r="AB60" s="50">
        <f>Y59*Table1[[#This Row],[one-year conditional mortality NOW]]</f>
        <v>5.2177843142000952E-3</v>
      </c>
      <c r="AC60" s="14">
        <v>1.9699999999999999E-2</v>
      </c>
      <c r="AD60" s="28">
        <f>(1+Table1[[#This Row],[Yield curve now]])^(Table1[[#This Row],[age since issue]]-$A$23)</f>
        <v>2.0581618041506711</v>
      </c>
      <c r="AE60" s="46">
        <f t="shared" si="1"/>
        <v>0.26153624359325806</v>
      </c>
      <c r="AF60" s="42">
        <f>1-Table1[[#This Row],[cumulative debt until t]]</f>
        <v>0.738463756406742</v>
      </c>
      <c r="AG60" s="46">
        <f>Table1[[#This Row],[cumulative debt until t]]*Table1[[#This Row],[Unconditional mortality NOW]]/Table1[[#This Row],[discouter with yield curve]]</f>
        <v>6.6303810840511368E-4</v>
      </c>
      <c r="AH60" s="48">
        <f>Table1[[#This Row],[Unconditional mortality NOW]]/Table1[[#This Row],[discouter with yield curve]]</f>
        <v>2.5351672077858264E-3</v>
      </c>
      <c r="AI60" s="29">
        <f>Table1[[#This Row],[user profit (death benefit - debt)]]*Table1[[#This Row],[Unconditional mortality NOW]]/Table1[[#This Row],[discouter with yield curve]]</f>
        <v>1.8721290993807126E-3</v>
      </c>
      <c r="AJ60" s="29">
        <f>(1+$D$4)^(Table1[[#This Row],[age since issue]]-$A$23)</f>
        <v>176.12462972611323</v>
      </c>
      <c r="AK60" s="57">
        <f>Table1[[#This Row],[level premium marked up]]*Table1[[#This Row],[unconditional survival NOW]]</f>
        <v>1.8580764122373592E-3</v>
      </c>
      <c r="AL60" s="62">
        <f>Table1[[#This Row],[cumulative debt until t]]*Table1[[#This Row],[Unconditional mortality NOW]]</f>
        <v>1.3646397094157171E-3</v>
      </c>
      <c r="AM60" s="47">
        <f>Table1[[#This Row],[probablistic premium stream]]/Table1[[#This Row],[lender discounter]]</f>
        <v>1.0549781794441839E-5</v>
      </c>
      <c r="AN60" s="58">
        <f>Table1[[#This Row],[probablistic repay from borrower]]/Table1[[#This Row],[lender discounter]]</f>
        <v>7.7481480672966212E-6</v>
      </c>
      <c r="AO60" s="47">
        <f>(Table1[[#This Row],[probablistic repay from borrower]]-Table1[[#This Row],[probablistic premium stream]])/Table1[[#This Row],[lender discounter]]</f>
        <v>-2.8016337271452183E-6</v>
      </c>
      <c r="AP60" s="46">
        <f>AP59*(1+$D$4)+ Table1[[#This Row],[level premium marked up]]</f>
        <v>2.6751664690945862</v>
      </c>
      <c r="AQ60" s="58">
        <f>AP60*Table1[[#This Row],[Unconditional mortality NOW]]</f>
        <v>1.3958441640315785E-2</v>
      </c>
      <c r="AR60" s="60">
        <f>Table1[[#This Row],[cumulative debt until t]]*Table1[[#This Row],[Unconditional mortality NOW]]</f>
        <v>1.3646397094157171E-3</v>
      </c>
      <c r="AS60" s="58">
        <f>Table1[[#This Row],[lender to pay cumulative probablistic undiscounted]]/Table1[[#This Row],[lender discounter]]</f>
        <v>7.9253206448309872E-5</v>
      </c>
    </row>
    <row r="61" spans="1:45" s="3" customFormat="1">
      <c r="A61" s="3">
        <v>65</v>
      </c>
      <c r="B61" s="8">
        <v>3.2000000000000001E-2</v>
      </c>
      <c r="C61" s="3">
        <v>0</v>
      </c>
      <c r="D61" s="8">
        <v>3.2000000000000001E-2</v>
      </c>
      <c r="E61" s="12">
        <v>1.24E-2</v>
      </c>
      <c r="F61" s="13">
        <f>1-Table1[[#This Row],[one-year conditional mortality AT ISSUE]]</f>
        <v>0.98760000000000003</v>
      </c>
      <c r="G61" s="13">
        <f>PRODUCT(F$17:F61)</f>
        <v>0.87962000225069736</v>
      </c>
      <c r="H61" s="13">
        <f>Table1[[#This Row],[one-year conditional survival AT ISSUE]]*(1-Table1[[#This Row],[Lapse rate]])</f>
        <v>0.95599679999999998</v>
      </c>
      <c r="I61" s="13">
        <f>PRODUCT(H$17:H61)</f>
        <v>0.13819899164262861</v>
      </c>
      <c r="J61" s="13">
        <f>G60*Table1[[#This Row],[one-year conditional mortality AT ISSUE]]</f>
        <v>1.1044236561268374E-2</v>
      </c>
      <c r="K61" s="10">
        <f>I60*Table1[[#This Row],[one-year conditional mortality AT ISSUE]]</f>
        <v>1.7925452222942533E-3</v>
      </c>
      <c r="L61" s="3">
        <f t="shared" si="2"/>
        <v>1.9910109748700498E-3</v>
      </c>
      <c r="M61" s="44">
        <f>Table1[[#This Row],[Death benefit pay probability]]/Table1[[#This Row],[unconditional persistency AT ISSUE]]</f>
        <v>1.297075471382331E-2</v>
      </c>
      <c r="N61" s="44">
        <f>Table1[[#This Row],[one-year conditional mortality AT ISSUE]]/Table1[[#This Row],[one-year conditional persistency AT ISSUE]]</f>
        <v>1.297075471382331E-2</v>
      </c>
      <c r="O61" s="4">
        <f>(1+$B$14)^(Table1[[#This Row],[age since issue]]-$A$17)</f>
        <v>4.5433415954937848</v>
      </c>
      <c r="P61" s="5">
        <f>(Table1[[#This Row],[level premium unmarked-up]]*Table1[[#This Row],[unconditional persistency AT ISSUE]]-Table1[[#This Row],[Death benefit pay probability]])</f>
        <v>-1.5173895132178056E-3</v>
      </c>
      <c r="Q61" s="4">
        <f>Table1[[#This Row],[Issuer profit with unmarked-up level premium]]/Table1[[#This Row],[Issuer discounter at issue]]</f>
        <v>-3.3398094361269151E-4</v>
      </c>
      <c r="R61" s="4">
        <f>(Table1[[#This Row],[variable premium unmarked up]]*Table1[[#This Row],[unconditional persistency AT ISSUE]]-Table1[[#This Row],[Death benefit pay probability]])</f>
        <v>0</v>
      </c>
      <c r="S61" s="6">
        <f>Table1[[#This Row],[level premium unmarked-up]]*(1+$B$15)</f>
        <v>1.9910109748700498E-3</v>
      </c>
      <c r="T61" s="6">
        <f>MIN(Table1[[#This Row],[variable premium unmarked up]]*(1+$B$15),1)</f>
        <v>1.297075471382331E-2</v>
      </c>
      <c r="U61" s="6">
        <f>Table1[[#This Row],[level premium marked up]]-Table1[[#This Row],[variable premium marked up]]</f>
        <v>-1.097974373895326E-2</v>
      </c>
      <c r="V61" s="6">
        <f>Table1[[#This Row],[additional cash]]+V60*(1+$D$2)</f>
        <v>-4.3062431452212252E-2</v>
      </c>
      <c r="W61" s="12">
        <v>6.1999999999999998E-3</v>
      </c>
      <c r="X61" s="13">
        <f>1-Table1[[#This Row],[one-year conditional mortality NOW]]</f>
        <v>0.99380000000000002</v>
      </c>
      <c r="Y61" s="49">
        <f>PRODUCT(X$17:X61)</f>
        <v>0.9274465895910039</v>
      </c>
      <c r="Z61" s="13">
        <f>Table1[[#This Row],[one-year conditional survival NOW]]*(1-Table1[[#This Row],[Lapse rate]])</f>
        <v>0.96199840000000003</v>
      </c>
      <c r="AA61" s="13">
        <f>PRODUCT(Z$17:Z61)</f>
        <v>0.21307652119409859</v>
      </c>
      <c r="AB61" s="50">
        <f>Y60*Table1[[#This Row],[one-year conditional mortality NOW]]</f>
        <v>5.7860423178347992E-3</v>
      </c>
      <c r="AC61" s="14">
        <v>1.9699999999999999E-2</v>
      </c>
      <c r="AD61" s="28">
        <f>(1+Table1[[#This Row],[Yield curve now]])^(Table1[[#This Row],[age since issue]]-$A$23)</f>
        <v>2.0987075916924391</v>
      </c>
      <c r="AE61" s="46">
        <f t="shared" si="1"/>
        <v>0.27904298344050188</v>
      </c>
      <c r="AF61" s="42">
        <f>1-Table1[[#This Row],[cumulative debt until t]]</f>
        <v>0.72095701655949807</v>
      </c>
      <c r="AG61" s="46">
        <f>Table1[[#This Row],[cumulative debt until t]]*Table1[[#This Row],[Unconditional mortality NOW]]/Table1[[#This Row],[discouter with yield curve]]</f>
        <v>7.6930893902166252E-4</v>
      </c>
      <c r="AH61" s="48">
        <f>Table1[[#This Row],[Unconditional mortality NOW]]/Table1[[#This Row],[discouter with yield curve]]</f>
        <v>2.7569549663508963E-3</v>
      </c>
      <c r="AI61" s="29">
        <f>Table1[[#This Row],[user profit (death benefit - debt)]]*Table1[[#This Row],[Unconditional mortality NOW]]/Table1[[#This Row],[discouter with yield curve]]</f>
        <v>1.9876460273292335E-3</v>
      </c>
      <c r="AJ61" s="29">
        <f>(1+$D$4)^(Table1[[#This Row],[age since issue]]-$A$23)</f>
        <v>202.5433241850302</v>
      </c>
      <c r="AK61" s="57">
        <f>Table1[[#This Row],[level premium marked up]]*Table1[[#This Row],[unconditional survival NOW]]</f>
        <v>1.8465563384814877E-3</v>
      </c>
      <c r="AL61" s="62">
        <f>Table1[[#This Row],[cumulative debt until t]]*Table1[[#This Row],[Unconditional mortality NOW]]</f>
        <v>1.614554510681619E-3</v>
      </c>
      <c r="AM61" s="47">
        <f>Table1[[#This Row],[probablistic premium stream]]/Table1[[#This Row],[lender discounter]]</f>
        <v>9.1168462150576518E-6</v>
      </c>
      <c r="AN61" s="58">
        <f>Table1[[#This Row],[probablistic repay from borrower]]/Table1[[#This Row],[lender discounter]]</f>
        <v>7.9714032401614414E-6</v>
      </c>
      <c r="AO61" s="47">
        <f>(Table1[[#This Row],[probablistic repay from borrower]]-Table1[[#This Row],[probablistic premium stream]])/Table1[[#This Row],[lender discounter]]</f>
        <v>-1.1454429748962112E-6</v>
      </c>
      <c r="AP61" s="46">
        <f>AP60*(1+$D$4)+ Table1[[#This Row],[level premium marked up]]</f>
        <v>3.078432450433644</v>
      </c>
      <c r="AQ61" s="58">
        <f>AP61*Table1[[#This Row],[Unconditional mortality NOW]]</f>
        <v>1.7811940430804942E-2</v>
      </c>
      <c r="AR61" s="60">
        <f>Table1[[#This Row],[cumulative debt until t]]*Table1[[#This Row],[Unconditional mortality NOW]]</f>
        <v>1.614554510681619E-3</v>
      </c>
      <c r="AS61" s="58">
        <f>Table1[[#This Row],[lender to pay cumulative probablistic undiscounted]]/Table1[[#This Row],[lender discounter]]</f>
        <v>8.7941384898635957E-5</v>
      </c>
    </row>
    <row r="62" spans="1:45" s="3" customFormat="1">
      <c r="A62" s="3">
        <v>66</v>
      </c>
      <c r="B62" s="8">
        <v>3.2000000000000001E-2</v>
      </c>
      <c r="C62" s="3">
        <v>0</v>
      </c>
      <c r="D62" s="8">
        <v>3.2000000000000001E-2</v>
      </c>
      <c r="E62" s="12">
        <v>1.38E-2</v>
      </c>
      <c r="F62" s="13">
        <f>1-Table1[[#This Row],[one-year conditional mortality AT ISSUE]]</f>
        <v>0.98619999999999997</v>
      </c>
      <c r="G62" s="13">
        <f>PRODUCT(F$17:F62)</f>
        <v>0.86748124621963774</v>
      </c>
      <c r="H62" s="13">
        <f>Table1[[#This Row],[one-year conditional survival AT ISSUE]]*(1-Table1[[#This Row],[Lapse rate]])</f>
        <v>0.95464159999999998</v>
      </c>
      <c r="I62" s="13">
        <f>PRODUCT(H$17:H62)</f>
        <v>0.1319305065001056</v>
      </c>
      <c r="J62" s="13">
        <f>G61*Table1[[#This Row],[one-year conditional mortality AT ISSUE]]</f>
        <v>1.2138756031059624E-2</v>
      </c>
      <c r="K62" s="10">
        <f>I61*Table1[[#This Row],[one-year conditional mortality AT ISSUE]]</f>
        <v>1.9071460846682747E-3</v>
      </c>
      <c r="L62" s="3">
        <f t="shared" si="2"/>
        <v>1.9910109748700498E-3</v>
      </c>
      <c r="M62" s="44">
        <f>Table1[[#This Row],[Death benefit pay probability]]/Table1[[#This Row],[unconditional persistency AT ISSUE]]</f>
        <v>1.445568682529653E-2</v>
      </c>
      <c r="N62" s="44">
        <f>Table1[[#This Row],[one-year conditional mortality AT ISSUE]]/Table1[[#This Row],[one-year conditional persistency AT ISSUE]]</f>
        <v>1.445568682529653E-2</v>
      </c>
      <c r="O62" s="4">
        <f>(1+$B$14)^(Table1[[#This Row],[age since issue]]-$A$17)</f>
        <v>4.7023585513360668</v>
      </c>
      <c r="P62" s="5">
        <f>(Table1[[#This Row],[level premium unmarked-up]]*Table1[[#This Row],[unconditional persistency AT ISSUE]]-Table1[[#This Row],[Death benefit pay probability]])</f>
        <v>-1.6444709983064001E-3</v>
      </c>
      <c r="Q62" s="4">
        <f>Table1[[#This Row],[Issuer profit with unmarked-up level premium]]/Table1[[#This Row],[Issuer discounter at issue]]</f>
        <v>-3.4971195419353159E-4</v>
      </c>
      <c r="R62" s="4">
        <f>(Table1[[#This Row],[variable premium unmarked up]]*Table1[[#This Row],[unconditional persistency AT ISSUE]]-Table1[[#This Row],[Death benefit pay probability]])</f>
        <v>0</v>
      </c>
      <c r="S62" s="6">
        <f>Table1[[#This Row],[level premium unmarked-up]]*(1+$B$15)</f>
        <v>1.9910109748700498E-3</v>
      </c>
      <c r="T62" s="6">
        <f>MIN(Table1[[#This Row],[variable premium unmarked up]]*(1+$B$15),1)</f>
        <v>1.445568682529653E-2</v>
      </c>
      <c r="U62" s="6">
        <f>Table1[[#This Row],[level premium marked up]]-Table1[[#This Row],[variable premium marked up]]</f>
        <v>-1.2464675850426481E-2</v>
      </c>
      <c r="V62" s="6">
        <f>Table1[[#This Row],[additional cash]]+V61*(1+$D$2)</f>
        <v>-5.5570169734090943E-2</v>
      </c>
      <c r="W62" s="12">
        <v>6.8799999999999998E-3</v>
      </c>
      <c r="X62" s="13">
        <f>1-Table1[[#This Row],[one-year conditional mortality NOW]]</f>
        <v>0.99312</v>
      </c>
      <c r="Y62" s="49">
        <f>PRODUCT(X$17:X62)</f>
        <v>0.9210657570546178</v>
      </c>
      <c r="Z62" s="13">
        <f>Table1[[#This Row],[one-year conditional survival NOW]]*(1-Table1[[#This Row],[Lapse rate]])</f>
        <v>0.96134016</v>
      </c>
      <c r="AA62" s="13">
        <f>PRODUCT(Z$17:Z62)</f>
        <v>0.20483901697697812</v>
      </c>
      <c r="AB62" s="50">
        <f>Y61*Table1[[#This Row],[one-year conditional mortality NOW]]</f>
        <v>6.3808325363861069E-3</v>
      </c>
      <c r="AC62" s="14">
        <v>1.9699999999999999E-2</v>
      </c>
      <c r="AD62" s="28">
        <f>(1+Table1[[#This Row],[Yield curve now]])^(Table1[[#This Row],[age since issue]]-$A$23)</f>
        <v>2.1400521312487801</v>
      </c>
      <c r="AE62" s="46">
        <f t="shared" si="1"/>
        <v>0.29758046991527826</v>
      </c>
      <c r="AF62" s="42">
        <f>1-Table1[[#This Row],[cumulative debt until t]]</f>
        <v>0.7024195300847218</v>
      </c>
      <c r="AG62" s="46">
        <f>Table1[[#This Row],[cumulative debt until t]]*Table1[[#This Row],[Unconditional mortality NOW]]/Table1[[#This Row],[discouter with yield curve]]</f>
        <v>8.872733130666613E-4</v>
      </c>
      <c r="AH62" s="48">
        <f>Table1[[#This Row],[Unconditional mortality NOW]]/Table1[[#This Row],[discouter with yield curve]]</f>
        <v>2.9816248133463521E-3</v>
      </c>
      <c r="AI62" s="29">
        <f>Table1[[#This Row],[user profit (death benefit - debt)]]*Table1[[#This Row],[Unconditional mortality NOW]]/Table1[[#This Row],[discouter with yield curve]]</f>
        <v>2.0943515002796909E-3</v>
      </c>
      <c r="AJ62" s="29">
        <f>(1+$D$4)^(Table1[[#This Row],[age since issue]]-$A$23)</f>
        <v>232.92482281278467</v>
      </c>
      <c r="AK62" s="57">
        <f>Table1[[#This Row],[level premium marked up]]*Table1[[#This Row],[unconditional survival NOW]]</f>
        <v>1.8338520308727351E-3</v>
      </c>
      <c r="AL62" s="62">
        <f>Table1[[#This Row],[cumulative debt until t]]*Table1[[#This Row],[Unconditional mortality NOW]]</f>
        <v>1.8988111446284746E-3</v>
      </c>
      <c r="AM62" s="47">
        <f>Table1[[#This Row],[probablistic premium stream]]/Table1[[#This Row],[lender discounter]]</f>
        <v>7.8731498374765724E-6</v>
      </c>
      <c r="AN62" s="58">
        <f>Table1[[#This Row],[probablistic repay from borrower]]/Table1[[#This Row],[lender discounter]]</f>
        <v>8.1520342988718745E-6</v>
      </c>
      <c r="AO62" s="47">
        <f>(Table1[[#This Row],[probablistic repay from borrower]]-Table1[[#This Row],[probablistic premium stream]])/Table1[[#This Row],[lender discounter]]</f>
        <v>2.7888446139530149E-7</v>
      </c>
      <c r="AP62" s="46">
        <f>AP61*(1+$D$4)+ Table1[[#This Row],[level premium marked up]]</f>
        <v>3.5421883289735607</v>
      </c>
      <c r="AQ62" s="58">
        <f>AP62*Table1[[#This Row],[Unconditional mortality NOW]]</f>
        <v>2.260211053952163E-2</v>
      </c>
      <c r="AR62" s="60">
        <f>Table1[[#This Row],[cumulative debt until t]]*Table1[[#This Row],[Unconditional mortality NOW]]</f>
        <v>1.8988111446284746E-3</v>
      </c>
      <c r="AS62" s="58">
        <f>Table1[[#This Row],[lender to pay cumulative probablistic undiscounted]]/Table1[[#This Row],[lender discounter]]</f>
        <v>9.7036074844149484E-5</v>
      </c>
    </row>
    <row r="63" spans="1:45" s="3" customFormat="1">
      <c r="A63" s="3">
        <v>67</v>
      </c>
      <c r="B63" s="8">
        <v>3.2000000000000001E-2</v>
      </c>
      <c r="C63" s="3">
        <v>0</v>
      </c>
      <c r="D63" s="8">
        <v>3.2000000000000001E-2</v>
      </c>
      <c r="E63" s="12">
        <v>1.521E-2</v>
      </c>
      <c r="F63" s="13">
        <f>1-Table1[[#This Row],[one-year conditional mortality AT ISSUE]]</f>
        <v>0.98479000000000005</v>
      </c>
      <c r="G63" s="13">
        <f>PRODUCT(F$17:F63)</f>
        <v>0.85428685646463709</v>
      </c>
      <c r="H63" s="13">
        <f>Table1[[#This Row],[one-year conditional survival AT ISSUE]]*(1-Table1[[#This Row],[Lapse rate]])</f>
        <v>0.95327672000000008</v>
      </c>
      <c r="I63" s="13">
        <f>PRODUCT(H$17:H63)</f>
        <v>0.12576628050435937</v>
      </c>
      <c r="J63" s="13">
        <f>G62*Table1[[#This Row],[one-year conditional mortality AT ISSUE]]</f>
        <v>1.319438975500069E-2</v>
      </c>
      <c r="K63" s="10">
        <f>I62*Table1[[#This Row],[one-year conditional mortality AT ISSUE]]</f>
        <v>2.0066630038666059E-3</v>
      </c>
      <c r="L63" s="3">
        <f t="shared" si="2"/>
        <v>1.9910109748700498E-3</v>
      </c>
      <c r="M63" s="44">
        <f>Table1[[#This Row],[Death benefit pay probability]]/Table1[[#This Row],[unconditional persistency AT ISSUE]]</f>
        <v>1.5955492965358468E-2</v>
      </c>
      <c r="N63" s="44">
        <f>Table1[[#This Row],[one-year conditional mortality AT ISSUE]]/Table1[[#This Row],[one-year conditional persistency AT ISSUE]]</f>
        <v>1.5955492965358472E-2</v>
      </c>
      <c r="O63" s="4">
        <f>(1+$B$14)^(Table1[[#This Row],[age since issue]]-$A$17)</f>
        <v>4.8669411006328298</v>
      </c>
      <c r="P63" s="5">
        <f>(Table1[[#This Row],[level premium unmarked-up]]*Table1[[#This Row],[unconditional persistency AT ISSUE]]-Table1[[#This Row],[Death benefit pay probability]])</f>
        <v>-1.7562609591138412E-3</v>
      </c>
      <c r="Q63" s="4">
        <f>Table1[[#This Row],[Issuer profit with unmarked-up level premium]]/Table1[[#This Row],[Issuer discounter at issue]]</f>
        <v>-3.6085519072451511E-4</v>
      </c>
      <c r="R63" s="4">
        <f>(Table1[[#This Row],[variable premium unmarked up]]*Table1[[#This Row],[unconditional persistency AT ISSUE]]-Table1[[#This Row],[Death benefit pay probability]])</f>
        <v>0</v>
      </c>
      <c r="S63" s="6">
        <f>Table1[[#This Row],[level premium unmarked-up]]*(1+$B$15)</f>
        <v>1.9910109748700498E-3</v>
      </c>
      <c r="T63" s="6">
        <f>MIN(Table1[[#This Row],[variable premium unmarked up]]*(1+$B$15),1)</f>
        <v>1.5955492965358468E-2</v>
      </c>
      <c r="U63" s="6">
        <f>Table1[[#This Row],[level premium marked up]]-Table1[[#This Row],[variable premium marked up]]</f>
        <v>-1.3964481990488418E-2</v>
      </c>
      <c r="V63" s="6">
        <f>Table1[[#This Row],[additional cash]]+V62*(1+$D$2)</f>
        <v>-6.959022189431345E-2</v>
      </c>
      <c r="W63" s="12">
        <v>7.62E-3</v>
      </c>
      <c r="X63" s="13">
        <f>1-Table1[[#This Row],[one-year conditional mortality NOW]]</f>
        <v>0.99238000000000004</v>
      </c>
      <c r="Y63" s="49">
        <f>PRODUCT(X$17:X63)</f>
        <v>0.91404723598586168</v>
      </c>
      <c r="Z63" s="13">
        <f>Table1[[#This Row],[one-year conditional survival NOW]]*(1-Table1[[#This Row],[Lapse rate]])</f>
        <v>0.96062384000000001</v>
      </c>
      <c r="AA63" s="13">
        <f>PRODUCT(Z$17:Z63)</f>
        <v>0.1967732430702499</v>
      </c>
      <c r="AB63" s="50">
        <f>Y62*Table1[[#This Row],[one-year conditional mortality NOW]]</f>
        <v>7.018521068756188E-3</v>
      </c>
      <c r="AC63" s="14">
        <v>1.9699999999999999E-2</v>
      </c>
      <c r="AD63" s="28">
        <f>(1+Table1[[#This Row],[Yield curve now]])^(Table1[[#This Row],[age since issue]]-$A$23)</f>
        <v>2.1822111582343813</v>
      </c>
      <c r="AE63" s="46">
        <f t="shared" si="1"/>
        <v>0.31720939042252044</v>
      </c>
      <c r="AF63" s="42">
        <f>1-Table1[[#This Row],[cumulative debt until t]]</f>
        <v>0.68279060957747961</v>
      </c>
      <c r="AG63" s="46">
        <f>Table1[[#This Row],[cumulative debt until t]]*Table1[[#This Row],[Unconditional mortality NOW]]/Table1[[#This Row],[discouter with yield curve]]</f>
        <v>1.0202224388262641E-3</v>
      </c>
      <c r="AH63" s="48">
        <f>Table1[[#This Row],[Unconditional mortality NOW]]/Table1[[#This Row],[discouter with yield curve]]</f>
        <v>3.2162428655322459E-3</v>
      </c>
      <c r="AI63" s="29">
        <f>Table1[[#This Row],[user profit (death benefit - debt)]]*Table1[[#This Row],[Unconditional mortality NOW]]/Table1[[#This Row],[discouter with yield curve]]</f>
        <v>2.1960204267059821E-3</v>
      </c>
      <c r="AJ63" s="29">
        <f>(1+$D$4)^(Table1[[#This Row],[age since issue]]-$A$23)</f>
        <v>267.86354623470237</v>
      </c>
      <c r="AK63" s="57">
        <f>Table1[[#This Row],[level premium marked up]]*Table1[[#This Row],[unconditional survival NOW]]</f>
        <v>1.8198780783974849E-3</v>
      </c>
      <c r="AL63" s="62">
        <f>Table1[[#This Row],[cumulative debt until t]]*Table1[[#This Row],[Unconditional mortality NOW]]</f>
        <v>2.226340789887767E-3</v>
      </c>
      <c r="AM63" s="47">
        <f>Table1[[#This Row],[probablistic premium stream]]/Table1[[#This Row],[lender discounter]]</f>
        <v>6.794049074534784E-6</v>
      </c>
      <c r="AN63" s="58">
        <f>Table1[[#This Row],[probablistic repay from borrower]]/Table1[[#This Row],[lender discounter]]</f>
        <v>8.3114735886347312E-6</v>
      </c>
      <c r="AO63" s="47">
        <f>(Table1[[#This Row],[probablistic repay from borrower]]-Table1[[#This Row],[probablistic premium stream]])/Table1[[#This Row],[lender discounter]]</f>
        <v>1.5174245140999474E-6</v>
      </c>
      <c r="AP63" s="46">
        <f>AP62*(1+$D$4)+ Table1[[#This Row],[level premium marked up]]</f>
        <v>4.0755075892944648</v>
      </c>
      <c r="AQ63" s="58">
        <f>AP63*Table1[[#This Row],[Unconditional mortality NOW]]</f>
        <v>2.8604035881338943E-2</v>
      </c>
      <c r="AR63" s="60">
        <f>Table1[[#This Row],[cumulative debt until t]]*Table1[[#This Row],[Unconditional mortality NOW]]</f>
        <v>2.226340789887767E-3</v>
      </c>
      <c r="AS63" s="58">
        <f>Table1[[#This Row],[lender to pay cumulative probablistic undiscounted]]/Table1[[#This Row],[lender discounter]]</f>
        <v>1.0678584780728637E-4</v>
      </c>
    </row>
    <row r="64" spans="1:45" s="3" customFormat="1">
      <c r="A64" s="3">
        <v>68</v>
      </c>
      <c r="B64" s="8">
        <v>3.2000000000000001E-2</v>
      </c>
      <c r="C64" s="3">
        <v>0</v>
      </c>
      <c r="D64" s="8">
        <v>3.2000000000000001E-2</v>
      </c>
      <c r="E64" s="12">
        <v>1.6629999999999999E-2</v>
      </c>
      <c r="F64" s="13">
        <f>1-Table1[[#This Row],[one-year conditional mortality AT ISSUE]]</f>
        <v>0.98336999999999997</v>
      </c>
      <c r="G64" s="13">
        <f>PRODUCT(F$17:F64)</f>
        <v>0.8400800660416301</v>
      </c>
      <c r="H64" s="13">
        <f>Table1[[#This Row],[one-year conditional survival AT ISSUE]]*(1-Table1[[#This Row],[Lapse rate]])</f>
        <v>0.95190215999999994</v>
      </c>
      <c r="I64" s="13">
        <f>PRODUCT(H$17:H64)</f>
        <v>0.11971719406726557</v>
      </c>
      <c r="J64" s="13">
        <f>G63*Table1[[#This Row],[one-year conditional mortality AT ISSUE]]</f>
        <v>1.4206790423006915E-2</v>
      </c>
      <c r="K64" s="10">
        <f>I63*Table1[[#This Row],[one-year conditional mortality AT ISSUE]]</f>
        <v>2.0914932447874961E-3</v>
      </c>
      <c r="L64" s="3">
        <f t="shared" si="2"/>
        <v>1.9910109748700498E-3</v>
      </c>
      <c r="M64" s="44">
        <f>Table1[[#This Row],[Death benefit pay probability]]/Table1[[#This Row],[unconditional persistency AT ISSUE]]</f>
        <v>1.7470282870247926E-2</v>
      </c>
      <c r="N64" s="44">
        <f>Table1[[#This Row],[one-year conditional mortality AT ISSUE]]/Table1[[#This Row],[one-year conditional persistency AT ISSUE]]</f>
        <v>1.7470282870247926E-2</v>
      </c>
      <c r="O64" s="4">
        <f>(1+$B$14)^(Table1[[#This Row],[age since issue]]-$A$17)</f>
        <v>5.0372840391549776</v>
      </c>
      <c r="P64" s="5">
        <f>(Table1[[#This Row],[level premium unmarked-up]]*Table1[[#This Row],[unconditional persistency AT ISSUE]]-Table1[[#This Row],[Death benefit pay probability]])</f>
        <v>-1.8531349975189227E-3</v>
      </c>
      <c r="Q64" s="4">
        <f>Table1[[#This Row],[Issuer profit with unmarked-up level premium]]/Table1[[#This Row],[Issuer discounter at issue]]</f>
        <v>-3.6788376099390906E-4</v>
      </c>
      <c r="R64" s="4">
        <f>(Table1[[#This Row],[variable premium unmarked up]]*Table1[[#This Row],[unconditional persistency AT ISSUE]]-Table1[[#This Row],[Death benefit pay probability]])</f>
        <v>0</v>
      </c>
      <c r="S64" s="6">
        <f>Table1[[#This Row],[level premium unmarked-up]]*(1+$B$15)</f>
        <v>1.9910109748700498E-3</v>
      </c>
      <c r="T64" s="6">
        <f>MIN(Table1[[#This Row],[variable premium unmarked up]]*(1+$B$15),1)</f>
        <v>1.7470282870247926E-2</v>
      </c>
      <c r="U64" s="6">
        <f>Table1[[#This Row],[level premium marked up]]-Table1[[#This Row],[variable premium marked up]]</f>
        <v>-1.5479271895377875E-2</v>
      </c>
      <c r="V64" s="6">
        <f>Table1[[#This Row],[additional cash]]+V63*(1+$D$2)</f>
        <v>-8.5139084011585625E-2</v>
      </c>
      <c r="W64" s="12">
        <v>8.4200000000000004E-3</v>
      </c>
      <c r="X64" s="13">
        <f>1-Table1[[#This Row],[one-year conditional mortality NOW]]</f>
        <v>0.99158000000000002</v>
      </c>
      <c r="Y64" s="49">
        <f>PRODUCT(X$17:X64)</f>
        <v>0.90635095825886069</v>
      </c>
      <c r="Z64" s="13">
        <f>Table1[[#This Row],[one-year conditional survival NOW]]*(1-Table1[[#This Row],[Lapse rate]])</f>
        <v>0.95984943999999994</v>
      </c>
      <c r="AA64" s="13">
        <f>PRODUCT(Z$17:Z64)</f>
        <v>0.18887268716796324</v>
      </c>
      <c r="AB64" s="50">
        <f>Y63*Table1[[#This Row],[one-year conditional mortality NOW]]</f>
        <v>7.6962777270009556E-3</v>
      </c>
      <c r="AC64" s="14">
        <v>1.9699999999999999E-2</v>
      </c>
      <c r="AD64" s="28">
        <f>(1+Table1[[#This Row],[Yield curve now]])^(Table1[[#This Row],[age since issue]]-$A$23)</f>
        <v>2.2252007180515987</v>
      </c>
      <c r="AE64" s="46">
        <f t="shared" si="1"/>
        <v>0.33799400546749403</v>
      </c>
      <c r="AF64" s="42">
        <f>1-Table1[[#This Row],[cumulative debt until t]]</f>
        <v>0.66200599453250597</v>
      </c>
      <c r="AG64" s="46">
        <f>Table1[[#This Row],[cumulative debt until t]]*Table1[[#This Row],[Unconditional mortality NOW]]/Table1[[#This Row],[discouter with yield curve]]</f>
        <v>1.1690162217892085E-3</v>
      </c>
      <c r="AH64" s="48">
        <f>Table1[[#This Row],[Unconditional mortality NOW]]/Table1[[#This Row],[discouter with yield curve]]</f>
        <v>3.4586892160181713E-3</v>
      </c>
      <c r="AI64" s="29">
        <f>Table1[[#This Row],[user profit (death benefit - debt)]]*Table1[[#This Row],[Unconditional mortality NOW]]/Table1[[#This Row],[discouter with yield curve]]</f>
        <v>2.289672994228963E-3</v>
      </c>
      <c r="AJ64" s="29">
        <f>(1+$D$4)^(Table1[[#This Row],[age since issue]]-$A$23)</f>
        <v>308.04307816990769</v>
      </c>
      <c r="AK64" s="57">
        <f>Table1[[#This Row],[level premium marked up]]*Table1[[#This Row],[unconditional survival NOW]]</f>
        <v>1.804554704977378E-3</v>
      </c>
      <c r="AL64" s="62">
        <f>Table1[[#This Row],[cumulative debt until t]]*Table1[[#This Row],[Unconditional mortality NOW]]</f>
        <v>2.6012957361393136E-3</v>
      </c>
      <c r="AM64" s="47">
        <f>Table1[[#This Row],[probablistic premium stream]]/Table1[[#This Row],[lender discounter]]</f>
        <v>5.8581245055019146E-6</v>
      </c>
      <c r="AN64" s="58">
        <f>Table1[[#This Row],[probablistic repay from borrower]]/Table1[[#This Row],[lender discounter]]</f>
        <v>8.4445842821519721E-6</v>
      </c>
      <c r="AO64" s="47">
        <f>(Table1[[#This Row],[probablistic repay from borrower]]-Table1[[#This Row],[probablistic premium stream]])/Table1[[#This Row],[lender discounter]]</f>
        <v>2.586459776650057E-6</v>
      </c>
      <c r="AP64" s="46">
        <f>AP63*(1+$D$4)+ Table1[[#This Row],[level premium marked up]]</f>
        <v>4.688824738663504</v>
      </c>
      <c r="AQ64" s="58">
        <f>AP64*Table1[[#This Row],[Unconditional mortality NOW]]</f>
        <v>3.6086497401987001E-2</v>
      </c>
      <c r="AR64" s="60">
        <f>Table1[[#This Row],[cumulative debt until t]]*Table1[[#This Row],[Unconditional mortality NOW]]</f>
        <v>2.6012957361393136E-3</v>
      </c>
      <c r="AS64" s="58">
        <f>Table1[[#This Row],[lender to pay cumulative probablistic undiscounted]]/Table1[[#This Row],[lender discounter]]</f>
        <v>1.1714756785439837E-4</v>
      </c>
    </row>
    <row r="65" spans="1:45" s="3" customFormat="1">
      <c r="A65" s="3">
        <v>69</v>
      </c>
      <c r="B65" s="8">
        <v>3.2000000000000001E-2</v>
      </c>
      <c r="C65" s="3">
        <v>0</v>
      </c>
      <c r="D65" s="8">
        <v>3.2000000000000001E-2</v>
      </c>
      <c r="E65" s="12">
        <v>1.8159999999999999E-2</v>
      </c>
      <c r="F65" s="13">
        <f>1-Table1[[#This Row],[one-year conditional mortality AT ISSUE]]</f>
        <v>0.98184000000000005</v>
      </c>
      <c r="G65" s="13">
        <f>PRODUCT(F$17:F65)</f>
        <v>0.82482421204231415</v>
      </c>
      <c r="H65" s="13">
        <f>Table1[[#This Row],[one-year conditional survival AT ISSUE]]*(1-Table1[[#This Row],[Lapse rate]])</f>
        <v>0.95042112000000001</v>
      </c>
      <c r="I65" s="13">
        <f>PRODUCT(H$17:H65)</f>
        <v>0.1137817496686679</v>
      </c>
      <c r="J65" s="13">
        <f>G64*Table1[[#This Row],[one-year conditional mortality AT ISSUE]]</f>
        <v>1.5255853999316001E-2</v>
      </c>
      <c r="K65" s="10">
        <f>I64*Table1[[#This Row],[one-year conditional mortality AT ISSUE]]</f>
        <v>2.1740642442615427E-3</v>
      </c>
      <c r="L65" s="3">
        <f t="shared" si="2"/>
        <v>1.9910109748700498E-3</v>
      </c>
      <c r="M65" s="44">
        <f>Table1[[#This Row],[Death benefit pay probability]]/Table1[[#This Row],[unconditional persistency AT ISSUE]]</f>
        <v>1.9107319500644093E-2</v>
      </c>
      <c r="N65" s="44">
        <f>Table1[[#This Row],[one-year conditional mortality AT ISSUE]]/Table1[[#This Row],[one-year conditional persistency AT ISSUE]]</f>
        <v>1.9107319500644093E-2</v>
      </c>
      <c r="O65" s="4">
        <f>(1+$B$14)^(Table1[[#This Row],[age since issue]]-$A$17)</f>
        <v>5.213588980525401</v>
      </c>
      <c r="P65" s="5">
        <f>(Table1[[#This Row],[level premium unmarked-up]]*Table1[[#This Row],[unconditional persistency AT ISSUE]]-Table1[[#This Row],[Death benefit pay probability]])</f>
        <v>-1.9475235319313083E-3</v>
      </c>
      <c r="Q65" s="4">
        <f>Table1[[#This Row],[Issuer profit with unmarked-up level premium]]/Table1[[#This Row],[Issuer discounter at issue]]</f>
        <v>-3.7354757715002038E-4</v>
      </c>
      <c r="R65" s="4">
        <f>(Table1[[#This Row],[variable premium unmarked up]]*Table1[[#This Row],[unconditional persistency AT ISSUE]]-Table1[[#This Row],[Death benefit pay probability]])</f>
        <v>0</v>
      </c>
      <c r="S65" s="6">
        <f>Table1[[#This Row],[level premium unmarked-up]]*(1+$B$15)</f>
        <v>1.9910109748700498E-3</v>
      </c>
      <c r="T65" s="6">
        <f>MIN(Table1[[#This Row],[variable premium unmarked up]]*(1+$B$15),1)</f>
        <v>1.9107319500644093E-2</v>
      </c>
      <c r="U65" s="6">
        <f>Table1[[#This Row],[level premium marked up]]-Table1[[#This Row],[variable premium marked up]]</f>
        <v>-1.7116308525774043E-2</v>
      </c>
      <c r="V65" s="6">
        <f>Table1[[#This Row],[additional cash]]+V64*(1+$D$2)</f>
        <v>-0.10234053162137124</v>
      </c>
      <c r="W65" s="12">
        <v>9.2999999999999992E-3</v>
      </c>
      <c r="X65" s="13">
        <f>1-Table1[[#This Row],[one-year conditional mortality NOW]]</f>
        <v>0.99070000000000003</v>
      </c>
      <c r="Y65" s="49">
        <f>PRODUCT(X$17:X65)</f>
        <v>0.89792189434705327</v>
      </c>
      <c r="Z65" s="13">
        <f>Table1[[#This Row],[one-year conditional survival NOW]]*(1-Table1[[#This Row],[Lapse rate]])</f>
        <v>0.95899760000000001</v>
      </c>
      <c r="AA65" s="13">
        <f>PRODUCT(Z$17:Z65)</f>
        <v>0.18112845369962755</v>
      </c>
      <c r="AB65" s="50">
        <f>Y64*Table1[[#This Row],[one-year conditional mortality NOW]]</f>
        <v>8.4290639118074044E-3</v>
      </c>
      <c r="AC65" s="14">
        <v>1.9699999999999999E-2</v>
      </c>
      <c r="AD65" s="28">
        <f>(1+Table1[[#This Row],[Yield curve now]])^(Table1[[#This Row],[age since issue]]-$A$23)</f>
        <v>2.2690371721972151</v>
      </c>
      <c r="AE65" s="46">
        <f t="shared" si="1"/>
        <v>0.36000235902969602</v>
      </c>
      <c r="AF65" s="42">
        <f>1-Table1[[#This Row],[cumulative debt until t]]</f>
        <v>0.63999764097030398</v>
      </c>
      <c r="AG65" s="46">
        <f>Table1[[#This Row],[cumulative debt until t]]*Table1[[#This Row],[Unconditional mortality NOW]]/Table1[[#This Row],[discouter with yield curve]]</f>
        <v>1.3373438433907678E-3</v>
      </c>
      <c r="AH65" s="48">
        <f>Table1[[#This Row],[Unconditional mortality NOW]]/Table1[[#This Row],[discouter with yield curve]]</f>
        <v>3.7148196667246077E-3</v>
      </c>
      <c r="AI65" s="29">
        <f>Table1[[#This Row],[user profit (death benefit - debt)]]*Table1[[#This Row],[Unconditional mortality NOW]]/Table1[[#This Row],[discouter with yield curve]]</f>
        <v>2.3774758233338399E-3</v>
      </c>
      <c r="AJ65" s="29">
        <f>(1+$D$4)^(Table1[[#This Row],[age since issue]]-$A$23)</f>
        <v>354.24953989539381</v>
      </c>
      <c r="AK65" s="57">
        <f>Table1[[#This Row],[level premium marked up]]*Table1[[#This Row],[unconditional survival NOW]]</f>
        <v>1.7877723462210884E-3</v>
      </c>
      <c r="AL65" s="62">
        <f>Table1[[#This Row],[cumulative debt until t]]*Table1[[#This Row],[Unconditional mortality NOW]]</f>
        <v>3.034482892662743E-3</v>
      </c>
      <c r="AM65" s="47">
        <f>Table1[[#This Row],[probablistic premium stream]]/Table1[[#This Row],[lender discounter]]</f>
        <v>5.0466469109571712E-6</v>
      </c>
      <c r="AN65" s="58">
        <f>Table1[[#This Row],[probablistic repay from borrower]]/Table1[[#This Row],[lender discounter]]</f>
        <v>8.5659473081003697E-6</v>
      </c>
      <c r="AO65" s="47">
        <f>(Table1[[#This Row],[probablistic repay from borrower]]-Table1[[#This Row],[probablistic premium stream]])/Table1[[#This Row],[lender discounter]]</f>
        <v>3.5193003971431981E-6</v>
      </c>
      <c r="AP65" s="46">
        <f>AP64*(1+$D$4)+ Table1[[#This Row],[level premium marked up]]</f>
        <v>5.3941394604378994</v>
      </c>
      <c r="AQ65" s="58">
        <f>AP65*Table1[[#This Row],[Unconditional mortality NOW]]</f>
        <v>4.5467546261233359E-2</v>
      </c>
      <c r="AR65" s="60">
        <f>Table1[[#This Row],[cumulative debt until t]]*Table1[[#This Row],[Unconditional mortality NOW]]</f>
        <v>3.034482892662743E-3</v>
      </c>
      <c r="AS65" s="58">
        <f>Table1[[#This Row],[lender to pay cumulative probablistic undiscounted]]/Table1[[#This Row],[lender discounter]]</f>
        <v>1.2834892114372103E-4</v>
      </c>
    </row>
    <row r="66" spans="1:45" s="3" customFormat="1">
      <c r="A66" s="3">
        <v>70</v>
      </c>
      <c r="B66" s="8">
        <v>3.2000000000000001E-2</v>
      </c>
      <c r="C66" s="3">
        <v>0</v>
      </c>
      <c r="D66" s="8">
        <v>3.2000000000000001E-2</v>
      </c>
      <c r="E66" s="12">
        <v>1.9730000000000001E-2</v>
      </c>
      <c r="F66" s="13">
        <f>1-Table1[[#This Row],[one-year conditional mortality AT ISSUE]]</f>
        <v>0.98026999999999997</v>
      </c>
      <c r="G66" s="13">
        <f>PRODUCT(F$17:F66)</f>
        <v>0.80855043033871932</v>
      </c>
      <c r="H66" s="13">
        <f>Table1[[#This Row],[one-year conditional survival AT ISSUE]]*(1-Table1[[#This Row],[Lapse rate]])</f>
        <v>0.94890135999999992</v>
      </c>
      <c r="I66" s="13">
        <f>PRODUCT(H$17:H66)</f>
        <v>0.10796765700377851</v>
      </c>
      <c r="J66" s="13">
        <f>G65*Table1[[#This Row],[one-year conditional mortality AT ISSUE]]</f>
        <v>1.6273781703594861E-2</v>
      </c>
      <c r="K66" s="10">
        <f>I65*Table1[[#This Row],[one-year conditional mortality AT ISSUE]]</f>
        <v>2.2449139209628176E-3</v>
      </c>
      <c r="L66" s="3">
        <f t="shared" si="2"/>
        <v>1.9910109748700498E-3</v>
      </c>
      <c r="M66" s="44">
        <f>Table1[[#This Row],[Death benefit pay probability]]/Table1[[#This Row],[unconditional persistency AT ISSUE]]</f>
        <v>2.0792466774417945E-2</v>
      </c>
      <c r="N66" s="44">
        <f>Table1[[#This Row],[one-year conditional mortality AT ISSUE]]/Table1[[#This Row],[one-year conditional persistency AT ISSUE]]</f>
        <v>2.0792466774417945E-2</v>
      </c>
      <c r="O66" s="4">
        <f>(1+$B$14)^(Table1[[#This Row],[age since issue]]-$A$17)</f>
        <v>5.3960645948437893</v>
      </c>
      <c r="P66" s="5">
        <f>(Table1[[#This Row],[level premium unmarked-up]]*Table1[[#This Row],[unconditional persistency AT ISSUE]]-Table1[[#This Row],[Death benefit pay probability]])</f>
        <v>-2.0299491309372893E-3</v>
      </c>
      <c r="Q66" s="4">
        <f>Table1[[#This Row],[Issuer profit with unmarked-up level premium]]/Table1[[#This Row],[Issuer discounter at issue]]</f>
        <v>-3.7619066548554806E-4</v>
      </c>
      <c r="R66" s="4">
        <f>(Table1[[#This Row],[variable premium unmarked up]]*Table1[[#This Row],[unconditional persistency AT ISSUE]]-Table1[[#This Row],[Death benefit pay probability]])</f>
        <v>0</v>
      </c>
      <c r="S66" s="6">
        <f>Table1[[#This Row],[level premium unmarked-up]]*(1+$B$15)</f>
        <v>1.9910109748700498E-3</v>
      </c>
      <c r="T66" s="6">
        <f>MIN(Table1[[#This Row],[variable premium unmarked up]]*(1+$B$15),1)</f>
        <v>2.0792466774417945E-2</v>
      </c>
      <c r="U66" s="6">
        <f>Table1[[#This Row],[level premium marked up]]-Table1[[#This Row],[variable premium marked up]]</f>
        <v>-1.8801455799547895E-2</v>
      </c>
      <c r="V66" s="6">
        <f>Table1[[#This Row],[additional cash]]+V65*(1+$D$2)</f>
        <v>-0.1212443279525405</v>
      </c>
      <c r="W66" s="12">
        <v>1.03E-2</v>
      </c>
      <c r="X66" s="13">
        <f>1-Table1[[#This Row],[one-year conditional mortality NOW]]</f>
        <v>0.98970000000000002</v>
      </c>
      <c r="Y66" s="49">
        <f>PRODUCT(X$17:X66)</f>
        <v>0.88867329883527868</v>
      </c>
      <c r="Z66" s="13">
        <f>Table1[[#This Row],[one-year conditional survival NOW]]*(1-Table1[[#This Row],[Lapse rate]])</f>
        <v>0.95802960000000004</v>
      </c>
      <c r="AA66" s="13">
        <f>PRODUCT(Z$17:Z66)</f>
        <v>0.1735264200464727</v>
      </c>
      <c r="AB66" s="50">
        <f>Y65*Table1[[#This Row],[one-year conditional mortality NOW]]</f>
        <v>9.2485955117746488E-3</v>
      </c>
      <c r="AC66" s="14">
        <v>1.9699999999999999E-2</v>
      </c>
      <c r="AD66" s="28">
        <f>(1+Table1[[#This Row],[Yield curve now]])^(Table1[[#This Row],[age since issue]]-$A$23)</f>
        <v>2.3137372044895002</v>
      </c>
      <c r="AE66" s="46">
        <f t="shared" si="1"/>
        <v>0.38330650132296523</v>
      </c>
      <c r="AF66" s="42">
        <f>1-Table1[[#This Row],[cumulative debt until t]]</f>
        <v>0.61669349867703471</v>
      </c>
      <c r="AG66" s="46">
        <f>Table1[[#This Row],[cumulative debt until t]]*Table1[[#This Row],[Unconditional mortality NOW]]/Table1[[#This Row],[discouter with yield curve]]</f>
        <v>1.5321734814528316E-3</v>
      </c>
      <c r="AH66" s="48">
        <f>Table1[[#This Row],[Unconditional mortality NOW]]/Table1[[#This Row],[discouter with yield curve]]</f>
        <v>3.9972540934333318E-3</v>
      </c>
      <c r="AI66" s="29">
        <f>Table1[[#This Row],[user profit (death benefit - debt)]]*Table1[[#This Row],[Unconditional mortality NOW]]/Table1[[#This Row],[discouter with yield curve]]</f>
        <v>2.4650806119805003E-3</v>
      </c>
      <c r="AJ66" s="29">
        <f>(1+$D$4)^(Table1[[#This Row],[age since issue]]-$A$23)</f>
        <v>407.38697087970286</v>
      </c>
      <c r="AK66" s="57">
        <f>Table1[[#This Row],[level premium marked up]]*Table1[[#This Row],[unconditional survival NOW]]</f>
        <v>1.7693582910550112E-3</v>
      </c>
      <c r="AL66" s="62">
        <f>Table1[[#This Row],[cumulative debt until t]]*Table1[[#This Row],[Unconditional mortality NOW]]</f>
        <v>3.5450467877696195E-3</v>
      </c>
      <c r="AM66" s="47">
        <f>Table1[[#This Row],[probablistic premium stream]]/Table1[[#This Row],[lender discounter]]</f>
        <v>4.3431882154559243E-6</v>
      </c>
      <c r="AN66" s="58">
        <f>Table1[[#This Row],[probablistic repay from borrower]]/Table1[[#This Row],[lender discounter]]</f>
        <v>8.7019149878910455E-6</v>
      </c>
      <c r="AO66" s="47">
        <f>(Table1[[#This Row],[probablistic repay from borrower]]-Table1[[#This Row],[probablistic premium stream]])/Table1[[#This Row],[lender discounter]]</f>
        <v>4.3587267724351221E-6</v>
      </c>
      <c r="AP66" s="46">
        <f>AP65*(1+$D$4)+ Table1[[#This Row],[level premium marked up]]</f>
        <v>6.2052513904784536</v>
      </c>
      <c r="AQ66" s="58">
        <f>AP66*Table1[[#This Row],[Unconditional mortality NOW]]</f>
        <v>5.7389860159412422E-2</v>
      </c>
      <c r="AR66" s="60">
        <f>Table1[[#This Row],[cumulative debt until t]]*Table1[[#This Row],[Unconditional mortality NOW]]</f>
        <v>3.5450467877696195E-3</v>
      </c>
      <c r="AS66" s="58">
        <f>Table1[[#This Row],[lender to pay cumulative probablistic undiscounted]]/Table1[[#This Row],[lender discounter]]</f>
        <v>1.4087308692147411E-4</v>
      </c>
    </row>
    <row r="67" spans="1:45" s="3" customFormat="1">
      <c r="A67" s="3">
        <v>71</v>
      </c>
      <c r="B67" s="8">
        <v>3.2000000000000001E-2</v>
      </c>
      <c r="C67" s="3">
        <v>0</v>
      </c>
      <c r="D67" s="8">
        <v>3.2000000000000001E-2</v>
      </c>
      <c r="E67" s="12">
        <v>2.1649999999999999E-2</v>
      </c>
      <c r="F67" s="13">
        <f>1-Table1[[#This Row],[one-year conditional mortality AT ISSUE]]</f>
        <v>0.97835000000000005</v>
      </c>
      <c r="G67" s="13">
        <f>PRODUCT(F$17:F67)</f>
        <v>0.79104531352188612</v>
      </c>
      <c r="H67" s="13">
        <f>Table1[[#This Row],[one-year conditional survival AT ISSUE]]*(1-Table1[[#This Row],[Lapse rate]])</f>
        <v>0.94704280000000007</v>
      </c>
      <c r="I67" s="13">
        <f>PRODUCT(H$17:H67)</f>
        <v>0.10224999219829803</v>
      </c>
      <c r="J67" s="13">
        <f>G66*Table1[[#This Row],[one-year conditional mortality AT ISSUE]]</f>
        <v>1.7505116816833272E-2</v>
      </c>
      <c r="K67" s="10">
        <f>I66*Table1[[#This Row],[one-year conditional mortality AT ISSUE]]</f>
        <v>2.3374997741318049E-3</v>
      </c>
      <c r="L67" s="3">
        <f t="shared" si="2"/>
        <v>1.9910109748700498E-3</v>
      </c>
      <c r="M67" s="44">
        <f>Table1[[#This Row],[Death benefit pay probability]]/Table1[[#This Row],[unconditional persistency AT ISSUE]]</f>
        <v>2.286063523211411E-2</v>
      </c>
      <c r="N67" s="44">
        <f>Table1[[#This Row],[one-year conditional mortality AT ISSUE]]/Table1[[#This Row],[one-year conditional persistency AT ISSUE]]</f>
        <v>2.286063523211411E-2</v>
      </c>
      <c r="O67" s="4">
        <f>(1+$B$14)^(Table1[[#This Row],[age since issue]]-$A$17)</f>
        <v>5.5849268556633218</v>
      </c>
      <c r="P67" s="5">
        <f>(Table1[[#This Row],[level premium unmarked-up]]*Table1[[#This Row],[unconditional persistency AT ISSUE]]-Table1[[#This Row],[Death benefit pay probability]])</f>
        <v>-2.1339189174846168E-3</v>
      </c>
      <c r="Q67" s="4">
        <f>Table1[[#This Row],[Issuer profit with unmarked-up level premium]]/Table1[[#This Row],[Issuer discounter at issue]]</f>
        <v>-3.8208538314530373E-4</v>
      </c>
      <c r="R67" s="4">
        <f>(Table1[[#This Row],[variable premium unmarked up]]*Table1[[#This Row],[unconditional persistency AT ISSUE]]-Table1[[#This Row],[Death benefit pay probability]])</f>
        <v>0</v>
      </c>
      <c r="S67" s="6">
        <f>Table1[[#This Row],[level premium unmarked-up]]*(1+$B$15)</f>
        <v>1.9910109748700498E-3</v>
      </c>
      <c r="T67" s="6">
        <f>MIN(Table1[[#This Row],[variable premium unmarked up]]*(1+$B$15),1)</f>
        <v>2.286063523211411E-2</v>
      </c>
      <c r="U67" s="6">
        <f>Table1[[#This Row],[level premium marked up]]-Table1[[#This Row],[variable premium marked up]]</f>
        <v>-2.0869624257244059E-2</v>
      </c>
      <c r="V67" s="6">
        <f>Table1[[#This Row],[additional cash]]+V66*(1+$D$2)</f>
        <v>-0.14223519653773709</v>
      </c>
      <c r="W67" s="12">
        <v>1.1469999999999999E-2</v>
      </c>
      <c r="X67" s="13">
        <f>1-Table1[[#This Row],[one-year conditional mortality NOW]]</f>
        <v>0.98853000000000002</v>
      </c>
      <c r="Y67" s="49">
        <f>PRODUCT(X$17:X67)</f>
        <v>0.87848021609763804</v>
      </c>
      <c r="Z67" s="13">
        <f>Table1[[#This Row],[one-year conditional survival NOW]]*(1-Table1[[#This Row],[Lapse rate]])</f>
        <v>0.95689703999999998</v>
      </c>
      <c r="AA67" s="13">
        <f>PRODUCT(Z$17:Z67)</f>
        <v>0.16604691770426638</v>
      </c>
      <c r="AB67" s="50">
        <f>Y66*Table1[[#This Row],[one-year conditional mortality NOW]]</f>
        <v>1.0193082737640646E-2</v>
      </c>
      <c r="AC67" s="14">
        <v>1.9699999999999999E-2</v>
      </c>
      <c r="AD67" s="28">
        <f>(1+Table1[[#This Row],[Yield curve now]])^(Table1[[#This Row],[age since issue]]-$A$23)</f>
        <v>2.3593178274179438</v>
      </c>
      <c r="AE67" s="46">
        <f t="shared" si="1"/>
        <v>0.40798272467106939</v>
      </c>
      <c r="AF67" s="42">
        <f>1-Table1[[#This Row],[cumulative debt until t]]</f>
        <v>0.59201727532893056</v>
      </c>
      <c r="AG67" s="46">
        <f>Table1[[#This Row],[cumulative debt until t]]*Table1[[#This Row],[Unconditional mortality NOW]]/Table1[[#This Row],[discouter with yield curve]]</f>
        <v>1.7626288496499346E-3</v>
      </c>
      <c r="AH67" s="48">
        <f>Table1[[#This Row],[Unconditional mortality NOW]]/Table1[[#This Row],[discouter with yield curve]]</f>
        <v>4.3203516792801235E-3</v>
      </c>
      <c r="AI67" s="29">
        <f>Table1[[#This Row],[user profit (death benefit - debt)]]*Table1[[#This Row],[Unconditional mortality NOW]]/Table1[[#This Row],[discouter with yield curve]]</f>
        <v>2.557722829630188E-3</v>
      </c>
      <c r="AJ67" s="29">
        <f>(1+$D$4)^(Table1[[#This Row],[age since issue]]-$A$23)</f>
        <v>468.49501651165821</v>
      </c>
      <c r="AK67" s="57">
        <f>Table1[[#This Row],[level premium marked up]]*Table1[[#This Row],[unconditional survival NOW]]</f>
        <v>1.7490637514566104E-3</v>
      </c>
      <c r="AL67" s="62">
        <f>Table1[[#This Row],[cumulative debt until t]]*Table1[[#This Row],[Unconditional mortality NOW]]</f>
        <v>4.1586016681002735E-3</v>
      </c>
      <c r="AM67" s="47">
        <f>Table1[[#This Row],[probablistic premium stream]]/Table1[[#This Row],[lender discounter]]</f>
        <v>3.733366823151866E-6</v>
      </c>
      <c r="AN67" s="58">
        <f>Table1[[#This Row],[probablistic repay from borrower]]/Table1[[#This Row],[lender discounter]]</f>
        <v>8.8765120685051923E-6</v>
      </c>
      <c r="AO67" s="47">
        <f>(Table1[[#This Row],[probablistic repay from borrower]]-Table1[[#This Row],[probablistic premium stream]])/Table1[[#This Row],[lender discounter]]</f>
        <v>5.1431452453533267E-6</v>
      </c>
      <c r="AP67" s="46">
        <f>AP66*(1+$D$4)+ Table1[[#This Row],[level premium marked up]]</f>
        <v>7.1380301100250909</v>
      </c>
      <c r="AQ67" s="58">
        <f>AP67*Table1[[#This Row],[Unconditional mortality NOW]]</f>
        <v>7.2758531495255907E-2</v>
      </c>
      <c r="AR67" s="60">
        <f>Table1[[#This Row],[cumulative debt until t]]*Table1[[#This Row],[Unconditional mortality NOW]]</f>
        <v>4.1586016681002735E-3</v>
      </c>
      <c r="AS67" s="58">
        <f>Table1[[#This Row],[lender to pay cumulative probablistic undiscounted]]/Table1[[#This Row],[lender discounter]]</f>
        <v>1.5530267971045826E-4</v>
      </c>
    </row>
    <row r="68" spans="1:45" s="3" customFormat="1">
      <c r="A68" s="3">
        <v>72</v>
      </c>
      <c r="B68" s="8">
        <v>3.2000000000000001E-2</v>
      </c>
      <c r="C68" s="3">
        <v>0</v>
      </c>
      <c r="D68" s="8">
        <v>3.2000000000000001E-2</v>
      </c>
      <c r="E68" s="12">
        <v>2.3800000000000002E-2</v>
      </c>
      <c r="F68" s="13">
        <f>1-Table1[[#This Row],[one-year conditional mortality AT ISSUE]]</f>
        <v>0.97619999999999996</v>
      </c>
      <c r="G68" s="13">
        <f>PRODUCT(F$17:F68)</f>
        <v>0.77221843506006516</v>
      </c>
      <c r="H68" s="13">
        <f>Table1[[#This Row],[one-year conditional survival AT ISSUE]]*(1-Table1[[#This Row],[Lapse rate]])</f>
        <v>0.94496159999999996</v>
      </c>
      <c r="I68" s="13">
        <f>PRODUCT(H$17:H68)</f>
        <v>9.6622316227691213E-2</v>
      </c>
      <c r="J68" s="13">
        <f>G67*Table1[[#This Row],[one-year conditional mortality AT ISSUE]]</f>
        <v>1.8826878461820892E-2</v>
      </c>
      <c r="K68" s="10">
        <f>I67*Table1[[#This Row],[one-year conditional mortality AT ISSUE]]</f>
        <v>2.433549814319493E-3</v>
      </c>
      <c r="L68" s="3">
        <f t="shared" si="2"/>
        <v>1.9910109748700498E-3</v>
      </c>
      <c r="M68" s="44">
        <f>Table1[[#This Row],[Death benefit pay probability]]/Table1[[#This Row],[unconditional persistency AT ISSUE]]</f>
        <v>2.5186208624773748E-2</v>
      </c>
      <c r="N68" s="44">
        <f>Table1[[#This Row],[one-year conditional mortality AT ISSUE]]/Table1[[#This Row],[one-year conditional persistency AT ISSUE]]</f>
        <v>2.5186208624773752E-2</v>
      </c>
      <c r="O68" s="4">
        <f>(1+$B$14)^(Table1[[#This Row],[age since issue]]-$A$17)</f>
        <v>5.7803992956115371</v>
      </c>
      <c r="P68" s="5">
        <f>(Table1[[#This Row],[level premium unmarked-up]]*Table1[[#This Row],[unconditional persistency AT ISSUE]]-Table1[[#This Row],[Death benefit pay probability]])</f>
        <v>-2.2411737222927954E-3</v>
      </c>
      <c r="Q68" s="4">
        <f>Table1[[#This Row],[Issuer profit with unmarked-up level premium]]/Table1[[#This Row],[Issuer discounter at issue]]</f>
        <v>-3.8771953418413293E-4</v>
      </c>
      <c r="R68" s="4">
        <f>(Table1[[#This Row],[variable premium unmarked up]]*Table1[[#This Row],[unconditional persistency AT ISSUE]]-Table1[[#This Row],[Death benefit pay probability]])</f>
        <v>0</v>
      </c>
      <c r="S68" s="6">
        <f>Table1[[#This Row],[level premium unmarked-up]]*(1+$B$15)</f>
        <v>1.9910109748700498E-3</v>
      </c>
      <c r="T68" s="6">
        <f>MIN(Table1[[#This Row],[variable premium unmarked up]]*(1+$B$15),1)</f>
        <v>2.5186208624773748E-2</v>
      </c>
      <c r="U68" s="6">
        <f>Table1[[#This Row],[level premium marked up]]-Table1[[#This Row],[variable premium marked up]]</f>
        <v>-2.3195197649903698E-2</v>
      </c>
      <c r="V68" s="6">
        <f>Table1[[#This Row],[additional cash]]+V67*(1+$D$2)</f>
        <v>-0.16557262938417849</v>
      </c>
      <c r="W68" s="12">
        <v>1.286E-2</v>
      </c>
      <c r="X68" s="13">
        <f>1-Table1[[#This Row],[one-year conditional mortality NOW]]</f>
        <v>0.98714000000000002</v>
      </c>
      <c r="Y68" s="49">
        <f>PRODUCT(X$17:X68)</f>
        <v>0.86718296051862243</v>
      </c>
      <c r="Z68" s="13">
        <f>Table1[[#This Row],[one-year conditional survival NOW]]*(1-Table1[[#This Row],[Lapse rate]])</f>
        <v>0.95555151999999999</v>
      </c>
      <c r="AA68" s="13">
        <f>PRODUCT(Z$17:Z68)</f>
        <v>0.15866638460362664</v>
      </c>
      <c r="AB68" s="50">
        <f>Y67*Table1[[#This Row],[one-year conditional mortality NOW]]</f>
        <v>1.1297255579015624E-2</v>
      </c>
      <c r="AC68" s="14">
        <v>1.9699999999999999E-2</v>
      </c>
      <c r="AD68" s="28">
        <f>(1+Table1[[#This Row],[Yield curve now]])^(Table1[[#This Row],[age since issue]]-$A$23)</f>
        <v>2.4057963886180773</v>
      </c>
      <c r="AE68" s="46">
        <f t="shared" si="1"/>
        <v>0.43411181327096987</v>
      </c>
      <c r="AF68" s="42">
        <f>1-Table1[[#This Row],[cumulative debt until t]]</f>
        <v>0.56588818672903018</v>
      </c>
      <c r="AG68" s="46">
        <f>Table1[[#This Row],[cumulative debt until t]]*Table1[[#This Row],[Unconditional mortality NOW]]/Table1[[#This Row],[discouter with yield curve]]</f>
        <v>2.0385233461960323E-3</v>
      </c>
      <c r="AH68" s="48">
        <f>Table1[[#This Row],[Unconditional mortality NOW]]/Table1[[#This Row],[discouter with yield curve]]</f>
        <v>4.6958485898737773E-3</v>
      </c>
      <c r="AI68" s="29">
        <f>Table1[[#This Row],[user profit (death benefit - debt)]]*Table1[[#This Row],[Unconditional mortality NOW]]/Table1[[#This Row],[discouter with yield curve]]</f>
        <v>2.6573252436777454E-3</v>
      </c>
      <c r="AJ68" s="29">
        <f>(1+$D$4)^(Table1[[#This Row],[age since issue]]-$A$23)</f>
        <v>538.76926898840691</v>
      </c>
      <c r="AK68" s="57">
        <f>Table1[[#This Row],[level premium marked up]]*Table1[[#This Row],[unconditional survival NOW]]</f>
        <v>1.7265707916128783E-3</v>
      </c>
      <c r="AL68" s="62">
        <f>Table1[[#This Row],[cumulative debt until t]]*Table1[[#This Row],[Unconditional mortality NOW]]</f>
        <v>4.9042721043920535E-3</v>
      </c>
      <c r="AM68" s="47">
        <f>Table1[[#This Row],[probablistic premium stream]]/Table1[[#This Row],[lender discounter]]</f>
        <v>3.2046571528748982E-6</v>
      </c>
      <c r="AN68" s="58">
        <f>Table1[[#This Row],[probablistic repay from borrower]]/Table1[[#This Row],[lender discounter]]</f>
        <v>9.102731701086653E-6</v>
      </c>
      <c r="AO68" s="47">
        <f>(Table1[[#This Row],[probablistic repay from borrower]]-Table1[[#This Row],[probablistic premium stream]])/Table1[[#This Row],[lender discounter]]</f>
        <v>5.8980745482117539E-6</v>
      </c>
      <c r="AP68" s="46">
        <f>AP67*(1+$D$4)+ Table1[[#This Row],[level premium marked up]]</f>
        <v>8.2107256375037228</v>
      </c>
      <c r="AQ68" s="58">
        <f>AP68*Table1[[#This Row],[Unconditional mortality NOW]]</f>
        <v>9.2758666016055549E-2</v>
      </c>
      <c r="AR68" s="60">
        <f>Table1[[#This Row],[cumulative debt until t]]*Table1[[#This Row],[Unconditional mortality NOW]]</f>
        <v>4.9042721043920535E-3</v>
      </c>
      <c r="AS68" s="58">
        <f>Table1[[#This Row],[lender to pay cumulative probablistic undiscounted]]/Table1[[#This Row],[lender discounter]]</f>
        <v>1.7216770026660803E-4</v>
      </c>
    </row>
    <row r="69" spans="1:45" s="3" customFormat="1">
      <c r="A69" s="3">
        <v>73</v>
      </c>
      <c r="B69" s="8">
        <v>3.2000000000000001E-2</v>
      </c>
      <c r="C69" s="3">
        <v>0</v>
      </c>
      <c r="D69" s="8">
        <v>3.2000000000000001E-2</v>
      </c>
      <c r="E69" s="12">
        <v>2.6679999999999999E-2</v>
      </c>
      <c r="F69" s="13">
        <f>1-Table1[[#This Row],[one-year conditional mortality AT ISSUE]]</f>
        <v>0.97331999999999996</v>
      </c>
      <c r="G69" s="13">
        <f>PRODUCT(F$17:F69)</f>
        <v>0.75161564721266261</v>
      </c>
      <c r="H69" s="13">
        <f>Table1[[#This Row],[one-year conditional survival AT ISSUE]]*(1-Table1[[#This Row],[Lapse rate]])</f>
        <v>0.94217375999999997</v>
      </c>
      <c r="I69" s="13">
        <f>PRODUCT(H$17:H69)</f>
        <v>9.1035010980152847E-2</v>
      </c>
      <c r="J69" s="13">
        <f>G68*Table1[[#This Row],[one-year conditional mortality AT ISSUE]]</f>
        <v>2.0602787847402538E-2</v>
      </c>
      <c r="K69" s="10">
        <f>I68*Table1[[#This Row],[one-year conditional mortality AT ISSUE]]</f>
        <v>2.5778833969548015E-3</v>
      </c>
      <c r="L69" s="3">
        <f t="shared" si="2"/>
        <v>1.9910109748700498E-3</v>
      </c>
      <c r="M69" s="44">
        <f>Table1[[#This Row],[Death benefit pay probability]]/Table1[[#This Row],[unconditional persistency AT ISSUE]]</f>
        <v>2.8317494216778018E-2</v>
      </c>
      <c r="N69" s="44">
        <f>Table1[[#This Row],[one-year conditional mortality AT ISSUE]]/Table1[[#This Row],[one-year conditional persistency AT ISSUE]]</f>
        <v>2.8317494216778018E-2</v>
      </c>
      <c r="O69" s="4">
        <f>(1+$B$14)^(Table1[[#This Row],[age since issue]]-$A$17)</f>
        <v>5.9827132709579409</v>
      </c>
      <c r="P69" s="5">
        <f>(Table1[[#This Row],[level premium unmarked-up]]*Table1[[#This Row],[unconditional persistency AT ISSUE]]-Table1[[#This Row],[Death benefit pay probability]])</f>
        <v>-2.3966316909959018E-3</v>
      </c>
      <c r="Q69" s="4">
        <f>Table1[[#This Row],[Issuer profit with unmarked-up level premium]]/Table1[[#This Row],[Issuer discounter at issue]]</f>
        <v>-4.0059277161583868E-4</v>
      </c>
      <c r="R69" s="4">
        <f>(Table1[[#This Row],[variable premium unmarked up]]*Table1[[#This Row],[unconditional persistency AT ISSUE]]-Table1[[#This Row],[Death benefit pay probability]])</f>
        <v>0</v>
      </c>
      <c r="S69" s="6">
        <f>Table1[[#This Row],[level premium unmarked-up]]*(1+$B$15)</f>
        <v>1.9910109748700498E-3</v>
      </c>
      <c r="T69" s="6">
        <f>MIN(Table1[[#This Row],[variable premium unmarked up]]*(1+$B$15),1)</f>
        <v>2.8317494216778018E-2</v>
      </c>
      <c r="U69" s="6">
        <f>Table1[[#This Row],[level premium marked up]]-Table1[[#This Row],[variable premium marked up]]</f>
        <v>-2.6326483241907967E-2</v>
      </c>
      <c r="V69" s="6">
        <f>Table1[[#This Row],[additional cash]]+V68*(1+$D$2)</f>
        <v>-0.19206468525547063</v>
      </c>
      <c r="W69" s="12">
        <v>1.452E-2</v>
      </c>
      <c r="X69" s="13">
        <f>1-Table1[[#This Row],[one-year conditional mortality NOW]]</f>
        <v>0.98548000000000002</v>
      </c>
      <c r="Y69" s="49">
        <f>PRODUCT(X$17:X69)</f>
        <v>0.854591463931892</v>
      </c>
      <c r="Z69" s="13">
        <f>Table1[[#This Row],[one-year conditional survival NOW]]*(1-Table1[[#This Row],[Lapse rate]])</f>
        <v>0.95394464000000001</v>
      </c>
      <c r="AA69" s="13">
        <f>PRODUCT(Z$17:Z69)</f>
        <v>0.15135894714080816</v>
      </c>
      <c r="AB69" s="50">
        <f>Y68*Table1[[#This Row],[one-year conditional mortality NOW]]</f>
        <v>1.2591496586730398E-2</v>
      </c>
      <c r="AC69" s="14">
        <v>1.9699999999999999E-2</v>
      </c>
      <c r="AD69" s="28">
        <f>(1+Table1[[#This Row],[Yield curve now]])^(Table1[[#This Row],[age since issue]]-$A$23)</f>
        <v>2.4531905774738534</v>
      </c>
      <c r="AE69" s="46">
        <f t="shared" si="1"/>
        <v>0.46177930766143149</v>
      </c>
      <c r="AF69" s="42">
        <f>1-Table1[[#This Row],[cumulative debt until t]]</f>
        <v>0.53822069233856851</v>
      </c>
      <c r="AG69" s="46">
        <f>Table1[[#This Row],[cumulative debt until t]]*Table1[[#This Row],[Unconditional mortality NOW]]/Table1[[#This Row],[discouter with yield curve]]</f>
        <v>2.3701756519173703E-3</v>
      </c>
      <c r="AH69" s="48">
        <f>Table1[[#This Row],[Unconditional mortality NOW]]/Table1[[#This Row],[discouter with yield curve]]</f>
        <v>5.1327021644182068E-3</v>
      </c>
      <c r="AI69" s="29">
        <f>Table1[[#This Row],[user profit (death benefit - debt)]]*Table1[[#This Row],[Unconditional mortality NOW]]/Table1[[#This Row],[discouter with yield curve]]</f>
        <v>2.7625265125008364E-3</v>
      </c>
      <c r="AJ69" s="29">
        <f>(1+$D$4)^(Table1[[#This Row],[age since issue]]-$A$23)</f>
        <v>619.58465933666798</v>
      </c>
      <c r="AK69" s="57">
        <f>Table1[[#This Row],[level premium marked up]]*Table1[[#This Row],[unconditional survival NOW]]</f>
        <v>1.7015009837186594E-3</v>
      </c>
      <c r="AL69" s="62">
        <f>Table1[[#This Row],[cumulative debt until t]]*Table1[[#This Row],[Unconditional mortality NOW]]</f>
        <v>5.8144925762416404E-3</v>
      </c>
      <c r="AM69" s="47">
        <f>Table1[[#This Row],[probablistic premium stream]]/Table1[[#This Row],[lender discounter]]</f>
        <v>2.7461961139262215E-6</v>
      </c>
      <c r="AN69" s="58">
        <f>Table1[[#This Row],[probablistic repay from borrower]]/Table1[[#This Row],[lender discounter]]</f>
        <v>9.3845005498791405E-6</v>
      </c>
      <c r="AO69" s="47">
        <f>(Table1[[#This Row],[probablistic repay from borrower]]-Table1[[#This Row],[probablistic premium stream]])/Table1[[#This Row],[lender discounter]]</f>
        <v>6.6383044359529186E-6</v>
      </c>
      <c r="AP69" s="46">
        <f>AP68*(1+$D$4)+ Table1[[#This Row],[level premium marked up]]</f>
        <v>9.4443254941041506</v>
      </c>
      <c r="AQ69" s="58">
        <f>AP69*Table1[[#This Row],[Unconditional mortality NOW]]</f>
        <v>0.11891819222298329</v>
      </c>
      <c r="AR69" s="60">
        <f>Table1[[#This Row],[cumulative debt until t]]*Table1[[#This Row],[Unconditional mortality NOW]]</f>
        <v>5.8144925762416404E-3</v>
      </c>
      <c r="AS69" s="58">
        <f>Table1[[#This Row],[lender to pay cumulative probablistic undiscounted]]/Table1[[#This Row],[lender discounter]]</f>
        <v>1.9193211198982558E-4</v>
      </c>
    </row>
    <row r="70" spans="1:45" s="3" customFormat="1">
      <c r="A70" s="3">
        <v>74</v>
      </c>
      <c r="B70" s="8">
        <v>3.2000000000000001E-2</v>
      </c>
      <c r="C70" s="3">
        <v>0</v>
      </c>
      <c r="D70" s="8">
        <v>3.2000000000000001E-2</v>
      </c>
      <c r="E70" s="12">
        <v>2.9700000000000001E-2</v>
      </c>
      <c r="F70" s="13">
        <f>1-Table1[[#This Row],[one-year conditional mortality AT ISSUE]]</f>
        <v>0.97030000000000005</v>
      </c>
      <c r="G70" s="13">
        <f>PRODUCT(F$17:F70)</f>
        <v>0.72929266249044655</v>
      </c>
      <c r="H70" s="13">
        <f>Table1[[#This Row],[one-year conditional survival AT ISSUE]]*(1-Table1[[#This Row],[Lapse rate]])</f>
        <v>0.93925040000000004</v>
      </c>
      <c r="I70" s="13">
        <f>PRODUCT(H$17:H70)</f>
        <v>8.5504670477112951E-2</v>
      </c>
      <c r="J70" s="13">
        <f>G69*Table1[[#This Row],[one-year conditional mortality AT ISSUE]]</f>
        <v>2.2322984722216079E-2</v>
      </c>
      <c r="K70" s="10">
        <f>I69*Table1[[#This Row],[one-year conditional mortality AT ISSUE]]</f>
        <v>2.7037398261105395E-3</v>
      </c>
      <c r="L70" s="3">
        <f t="shared" si="2"/>
        <v>1.9910109748700498E-3</v>
      </c>
      <c r="M70" s="44">
        <f>Table1[[#This Row],[Death benefit pay probability]]/Table1[[#This Row],[unconditional persistency AT ISSUE]]</f>
        <v>3.1620960715055324E-2</v>
      </c>
      <c r="N70" s="44">
        <f>Table1[[#This Row],[one-year conditional mortality AT ISSUE]]/Table1[[#This Row],[one-year conditional persistency AT ISSUE]]</f>
        <v>3.1620960715055324E-2</v>
      </c>
      <c r="O70" s="4">
        <f>(1+$B$14)^(Table1[[#This Row],[age since issue]]-$A$17)</f>
        <v>6.1921082354414674</v>
      </c>
      <c r="P70" s="5">
        <f>(Table1[[#This Row],[level premium unmarked-up]]*Table1[[#This Row],[unconditional persistency AT ISSUE]]-Table1[[#This Row],[Death benefit pay probability]])</f>
        <v>-2.5334990887879603E-3</v>
      </c>
      <c r="Q70" s="4">
        <f>Table1[[#This Row],[Issuer profit with unmarked-up level premium]]/Table1[[#This Row],[Issuer discounter at issue]]</f>
        <v>-4.0914967769573138E-4</v>
      </c>
      <c r="R70" s="4">
        <f>(Table1[[#This Row],[variable premium unmarked up]]*Table1[[#This Row],[unconditional persistency AT ISSUE]]-Table1[[#This Row],[Death benefit pay probability]])</f>
        <v>0</v>
      </c>
      <c r="S70" s="6">
        <f>Table1[[#This Row],[level premium unmarked-up]]*(1+$B$15)</f>
        <v>1.9910109748700498E-3</v>
      </c>
      <c r="T70" s="6">
        <f>MIN(Table1[[#This Row],[variable premium unmarked up]]*(1+$B$15),1)</f>
        <v>3.1620960715055324E-2</v>
      </c>
      <c r="U70" s="6">
        <f>Table1[[#This Row],[level premium marked up]]-Table1[[#This Row],[variable premium marked up]]</f>
        <v>-2.9629949740185273E-2</v>
      </c>
      <c r="V70" s="6">
        <f>Table1[[#This Row],[additional cash]]+V69*(1+$D$2)</f>
        <v>-0.22188669968091135</v>
      </c>
      <c r="W70" s="12">
        <v>1.6459999999999999E-2</v>
      </c>
      <c r="X70" s="13">
        <f>1-Table1[[#This Row],[one-year conditional mortality NOW]]</f>
        <v>0.98353999999999997</v>
      </c>
      <c r="Y70" s="49">
        <f>PRODUCT(X$17:X70)</f>
        <v>0.84052488843557305</v>
      </c>
      <c r="Z70" s="13">
        <f>Table1[[#This Row],[one-year conditional survival NOW]]*(1-Table1[[#This Row],[Lapse rate]])</f>
        <v>0.95206671999999992</v>
      </c>
      <c r="AA70" s="13">
        <f>PRODUCT(Z$17:Z70)</f>
        <v>0.14410381634700259</v>
      </c>
      <c r="AB70" s="50">
        <f>Y69*Table1[[#This Row],[one-year conditional mortality NOW]]</f>
        <v>1.4066575496318942E-2</v>
      </c>
      <c r="AC70" s="14">
        <v>1.9699999999999999E-2</v>
      </c>
      <c r="AD70" s="28">
        <f>(1+Table1[[#This Row],[Yield curve now]])^(Table1[[#This Row],[age since issue]]-$A$23)</f>
        <v>2.501518431850088</v>
      </c>
      <c r="AE70" s="46">
        <f t="shared" si="1"/>
        <v>0.49107578476278518</v>
      </c>
      <c r="AF70" s="42">
        <f>1-Table1[[#This Row],[cumulative debt until t]]</f>
        <v>0.50892421523721487</v>
      </c>
      <c r="AG70" s="46">
        <f>Table1[[#This Row],[cumulative debt until t]]*Table1[[#This Row],[Unconditional mortality NOW]]/Table1[[#This Row],[discouter with yield curve]]</f>
        <v>2.7614246262702572E-3</v>
      </c>
      <c r="AH70" s="48">
        <f>Table1[[#This Row],[Unconditional mortality NOW]]/Table1[[#This Row],[discouter with yield curve]]</f>
        <v>5.6232148111399283E-3</v>
      </c>
      <c r="AI70" s="29">
        <f>Table1[[#This Row],[user profit (death benefit - debt)]]*Table1[[#This Row],[Unconditional mortality NOW]]/Table1[[#This Row],[discouter with yield curve]]</f>
        <v>2.8617901848696716E-3</v>
      </c>
      <c r="AJ70" s="29">
        <f>(1+$D$4)^(Table1[[#This Row],[age since issue]]-$A$23)</f>
        <v>712.52235823716796</v>
      </c>
      <c r="AK70" s="57">
        <f>Table1[[#This Row],[level premium marked up]]*Table1[[#This Row],[unconditional survival NOW]]</f>
        <v>1.6734942775266501E-3</v>
      </c>
      <c r="AL70" s="62">
        <f>Table1[[#This Row],[cumulative debt until t]]*Table1[[#This Row],[Unconditional mortality NOW]]</f>
        <v>6.9077546007797891E-3</v>
      </c>
      <c r="AM70" s="47">
        <f>Table1[[#This Row],[probablistic premium stream]]/Table1[[#This Row],[lender discounter]]</f>
        <v>2.3486901964269534E-6</v>
      </c>
      <c r="AN70" s="58">
        <f>Table1[[#This Row],[probablistic repay from borrower]]/Table1[[#This Row],[lender discounter]]</f>
        <v>9.6947899541988771E-6</v>
      </c>
      <c r="AO70" s="47">
        <f>(Table1[[#This Row],[probablistic repay from borrower]]-Table1[[#This Row],[probablistic premium stream]])/Table1[[#This Row],[lender discounter]]</f>
        <v>7.3460997577719229E-6</v>
      </c>
      <c r="AP70" s="46">
        <f>AP69*(1+$D$4)+ Table1[[#This Row],[level premium marked up]]</f>
        <v>10.862965329194642</v>
      </c>
      <c r="AQ70" s="58">
        <f>AP70*Table1[[#This Row],[Unconditional mortality NOW]]</f>
        <v>0.15280472191701158</v>
      </c>
      <c r="AR70" s="60">
        <f>Table1[[#This Row],[cumulative debt until t]]*Table1[[#This Row],[Unconditional mortality NOW]]</f>
        <v>6.9077546007797891E-3</v>
      </c>
      <c r="AS70" s="58">
        <f>Table1[[#This Row],[lender to pay cumulative probablistic undiscounted]]/Table1[[#This Row],[lender discounter]]</f>
        <v>2.1445603797621391E-4</v>
      </c>
    </row>
    <row r="71" spans="1:45" s="3" customFormat="1">
      <c r="A71" s="3">
        <v>75</v>
      </c>
      <c r="B71" s="8">
        <v>3.2000000000000001E-2</v>
      </c>
      <c r="C71" s="3">
        <v>0</v>
      </c>
      <c r="D71" s="8">
        <v>3.2000000000000001E-2</v>
      </c>
      <c r="E71" s="12">
        <v>3.286E-2</v>
      </c>
      <c r="F71" s="13">
        <f>1-Table1[[#This Row],[one-year conditional mortality AT ISSUE]]</f>
        <v>0.96714</v>
      </c>
      <c r="G71" s="13">
        <f>PRODUCT(F$17:F71)</f>
        <v>0.70532810560101045</v>
      </c>
      <c r="H71" s="13">
        <f>Table1[[#This Row],[one-year conditional survival AT ISSUE]]*(1-Table1[[#This Row],[Lapse rate]])</f>
        <v>0.93619151999999994</v>
      </c>
      <c r="I71" s="13">
        <f>PRODUCT(H$17:H71)</f>
        <v>8.004874742106749E-2</v>
      </c>
      <c r="J71" s="13">
        <f>G70*Table1[[#This Row],[one-year conditional mortality AT ISSUE]]</f>
        <v>2.3964556889436075E-2</v>
      </c>
      <c r="K71" s="10">
        <f>I70*Table1[[#This Row],[one-year conditional mortality AT ISSUE]]</f>
        <v>2.8096834718779316E-3</v>
      </c>
      <c r="L71" s="3">
        <f t="shared" si="2"/>
        <v>1.9910109748700498E-3</v>
      </c>
      <c r="M71" s="44">
        <f>Table1[[#This Row],[Death benefit pay probability]]/Table1[[#This Row],[unconditional persistency AT ISSUE]]</f>
        <v>3.5099655677291335E-2</v>
      </c>
      <c r="N71" s="44">
        <f>Table1[[#This Row],[one-year conditional mortality AT ISSUE]]/Table1[[#This Row],[one-year conditional persistency AT ISSUE]]</f>
        <v>3.5099655677291335E-2</v>
      </c>
      <c r="O71" s="4">
        <f>(1+$B$14)^(Table1[[#This Row],[age since issue]]-$A$17)</f>
        <v>6.408832023681919</v>
      </c>
      <c r="P71" s="5">
        <f>(Table1[[#This Row],[level premium unmarked-up]]*Table1[[#This Row],[unconditional persistency AT ISSUE]]-Table1[[#This Row],[Death benefit pay probability]])</f>
        <v>-2.6503055372379858E-3</v>
      </c>
      <c r="Q71" s="4">
        <f>Table1[[#This Row],[Issuer profit with unmarked-up level premium]]/Table1[[#This Row],[Issuer discounter at issue]]</f>
        <v>-4.1353955407858649E-4</v>
      </c>
      <c r="R71" s="4">
        <f>(Table1[[#This Row],[variable premium unmarked up]]*Table1[[#This Row],[unconditional persistency AT ISSUE]]-Table1[[#This Row],[Death benefit pay probability]])</f>
        <v>0</v>
      </c>
      <c r="S71" s="6">
        <f>Table1[[#This Row],[level premium unmarked-up]]*(1+$B$15)</f>
        <v>1.9910109748700498E-3</v>
      </c>
      <c r="T71" s="6">
        <f>MIN(Table1[[#This Row],[variable premium unmarked up]]*(1+$B$15),1)</f>
        <v>3.5099655677291335E-2</v>
      </c>
      <c r="U71" s="6">
        <f>Table1[[#This Row],[level premium marked up]]-Table1[[#This Row],[variable premium marked up]]</f>
        <v>-3.3108644702421287E-2</v>
      </c>
      <c r="V71" s="6">
        <f>Table1[[#This Row],[additional cash]]+V70*(1+$D$2)</f>
        <v>-0.25521723108301353</v>
      </c>
      <c r="W71" s="12">
        <v>1.8669999999999999E-2</v>
      </c>
      <c r="X71" s="13">
        <f>1-Table1[[#This Row],[one-year conditional mortality NOW]]</f>
        <v>0.98133000000000004</v>
      </c>
      <c r="Y71" s="49">
        <f>PRODUCT(X$17:X71)</f>
        <v>0.82483228876848091</v>
      </c>
      <c r="Z71" s="13">
        <f>Table1[[#This Row],[one-year conditional survival NOW]]*(1-Table1[[#This Row],[Lapse rate]])</f>
        <v>0.94992743999999996</v>
      </c>
      <c r="AA71" s="13">
        <f>PRODUCT(Z$17:Z71)</f>
        <v>0.13688816935673831</v>
      </c>
      <c r="AB71" s="50">
        <f>Y70*Table1[[#This Row],[one-year conditional mortality NOW]]</f>
        <v>1.5692599667092147E-2</v>
      </c>
      <c r="AC71" s="14">
        <v>1.9699999999999999E-2</v>
      </c>
      <c r="AD71" s="28">
        <f>(1+Table1[[#This Row],[Yield curve now]])^(Table1[[#This Row],[age since issue]]-$A$23)</f>
        <v>2.5507983449575353</v>
      </c>
      <c r="AE71" s="46">
        <f t="shared" si="1"/>
        <v>0.52209715440462867</v>
      </c>
      <c r="AF71" s="42">
        <f>1-Table1[[#This Row],[cumulative debt until t]]</f>
        <v>0.47790284559537133</v>
      </c>
      <c r="AG71" s="46">
        <f>Table1[[#This Row],[cumulative debt until t]]*Table1[[#This Row],[Unconditional mortality NOW]]/Table1[[#This Row],[discouter with yield curve]]</f>
        <v>3.2119597566761899E-3</v>
      </c>
      <c r="AH71" s="48">
        <f>Table1[[#This Row],[Unconditional mortality NOW]]/Table1[[#This Row],[discouter with yield curve]]</f>
        <v>6.1520345965856392E-3</v>
      </c>
      <c r="AI71" s="29">
        <f>Table1[[#This Row],[user profit (death benefit - debt)]]*Table1[[#This Row],[Unconditional mortality NOW]]/Table1[[#This Row],[discouter with yield curve]]</f>
        <v>2.9400748399094493E-3</v>
      </c>
      <c r="AJ71" s="29">
        <f>(1+$D$4)^(Table1[[#This Row],[age since issue]]-$A$23)</f>
        <v>819.40071197274301</v>
      </c>
      <c r="AK71" s="57">
        <f>Table1[[#This Row],[level premium marked up]]*Table1[[#This Row],[unconditional survival NOW]]</f>
        <v>1.6422501393652275E-3</v>
      </c>
      <c r="AL71" s="62">
        <f>Table1[[#This Row],[cumulative debt until t]]*Table1[[#This Row],[Unconditional mortality NOW]]</f>
        <v>8.1930616313998332E-3</v>
      </c>
      <c r="AM71" s="47">
        <f>Table1[[#This Row],[probablistic premium stream]]/Table1[[#This Row],[lender discounter]]</f>
        <v>2.004208826486663E-6</v>
      </c>
      <c r="AN71" s="58">
        <f>Table1[[#This Row],[probablistic repay from borrower]]/Table1[[#This Row],[lender discounter]]</f>
        <v>9.9988461221551537E-6</v>
      </c>
      <c r="AO71" s="47">
        <f>(Table1[[#This Row],[probablistic repay from borrower]]-Table1[[#This Row],[probablistic premium stream]])/Table1[[#This Row],[lender discounter]]</f>
        <v>7.9946372956684911E-6</v>
      </c>
      <c r="AP71" s="46">
        <f>AP70*(1+$D$4)+ Table1[[#This Row],[level premium marked up]]</f>
        <v>12.494401139548707</v>
      </c>
      <c r="AQ71" s="58">
        <f>AP71*Table1[[#This Row],[Unconditional mortality NOW]]</f>
        <v>0.19606963516299777</v>
      </c>
      <c r="AR71" s="60">
        <f>Table1[[#This Row],[cumulative debt until t]]*Table1[[#This Row],[Unconditional mortality NOW]]</f>
        <v>8.1930616313998332E-3</v>
      </c>
      <c r="AS71" s="58">
        <f>Table1[[#This Row],[lender to pay cumulative probablistic undiscounted]]/Table1[[#This Row],[lender discounter]]</f>
        <v>2.3928418940587879E-4</v>
      </c>
    </row>
    <row r="72" spans="1:45" s="3" customFormat="1">
      <c r="A72" s="3">
        <v>76</v>
      </c>
      <c r="B72" s="8">
        <v>3.2000000000000001E-2</v>
      </c>
      <c r="C72" s="3">
        <v>0</v>
      </c>
      <c r="D72" s="8">
        <v>3.2000000000000001E-2</v>
      </c>
      <c r="E72" s="12">
        <v>3.6319999999999998E-2</v>
      </c>
      <c r="F72" s="13">
        <f>1-Table1[[#This Row],[one-year conditional mortality AT ISSUE]]</f>
        <v>0.96367999999999998</v>
      </c>
      <c r="G72" s="13">
        <f>PRODUCT(F$17:F72)</f>
        <v>0.67971058880558177</v>
      </c>
      <c r="H72" s="13">
        <f>Table1[[#This Row],[one-year conditional survival AT ISSUE]]*(1-Table1[[#This Row],[Lapse rate]])</f>
        <v>0.93284223999999993</v>
      </c>
      <c r="I72" s="13">
        <f>PRODUCT(H$17:H72)</f>
        <v>7.4672852853462812E-2</v>
      </c>
      <c r="J72" s="13">
        <f>G71*Table1[[#This Row],[one-year conditional mortality AT ISSUE]]</f>
        <v>2.5617516795428699E-2</v>
      </c>
      <c r="K72" s="10">
        <f>I71*Table1[[#This Row],[one-year conditional mortality AT ISSUE]]</f>
        <v>2.907370506333171E-3</v>
      </c>
      <c r="L72" s="3">
        <f t="shared" si="2"/>
        <v>1.9910109748700498E-3</v>
      </c>
      <c r="M72" s="44">
        <f>Table1[[#This Row],[Death benefit pay probability]]/Table1[[#This Row],[unconditional persistency AT ISSUE]]</f>
        <v>3.893477207893159E-2</v>
      </c>
      <c r="N72" s="44">
        <f>Table1[[#This Row],[one-year conditional mortality AT ISSUE]]/Table1[[#This Row],[one-year conditional persistency AT ISSUE]]</f>
        <v>3.893477207893159E-2</v>
      </c>
      <c r="O72" s="4">
        <f>(1+$B$14)^(Table1[[#This Row],[age since issue]]-$A$17)</f>
        <v>6.6331411445107866</v>
      </c>
      <c r="P72" s="5">
        <f>(Table1[[#This Row],[level premium unmarked-up]]*Table1[[#This Row],[unconditional persistency AT ISSUE]]-Table1[[#This Row],[Death benefit pay probability]])</f>
        <v>-2.7586960367770703E-3</v>
      </c>
      <c r="Q72" s="4">
        <f>Table1[[#This Row],[Issuer profit with unmarked-up level premium]]/Table1[[#This Row],[Issuer discounter at issue]]</f>
        <v>-4.1589587446967137E-4</v>
      </c>
      <c r="R72" s="4">
        <f>(Table1[[#This Row],[variable premium unmarked up]]*Table1[[#This Row],[unconditional persistency AT ISSUE]]-Table1[[#This Row],[Death benefit pay probability]])</f>
        <v>0</v>
      </c>
      <c r="S72" s="6">
        <f>Table1[[#This Row],[level premium unmarked-up]]*(1+$B$15)</f>
        <v>1.9910109748700498E-3</v>
      </c>
      <c r="T72" s="6">
        <f>MIN(Table1[[#This Row],[variable premium unmarked up]]*(1+$B$15),1)</f>
        <v>3.893477207893159E-2</v>
      </c>
      <c r="U72" s="6">
        <f>Table1[[#This Row],[level premium marked up]]-Table1[[#This Row],[variable premium marked up]]</f>
        <v>-3.6943761104061543E-2</v>
      </c>
      <c r="V72" s="6">
        <f>Table1[[#This Row],[additional cash]]+V71*(1+$D$2)</f>
        <v>-0.29241620941815805</v>
      </c>
      <c r="W72" s="12">
        <v>2.1139999999999999E-2</v>
      </c>
      <c r="X72" s="13">
        <f>1-Table1[[#This Row],[one-year conditional mortality NOW]]</f>
        <v>0.97885999999999995</v>
      </c>
      <c r="Y72" s="49">
        <f>PRODUCT(X$17:X72)</f>
        <v>0.80739533418391518</v>
      </c>
      <c r="Z72" s="13">
        <f>Table1[[#This Row],[one-year conditional survival NOW]]*(1-Table1[[#This Row],[Lapse rate]])</f>
        <v>0.9475364799999999</v>
      </c>
      <c r="AA72" s="13">
        <f>PRODUCT(Z$17:Z72)</f>
        <v>0.12970653414592767</v>
      </c>
      <c r="AB72" s="50">
        <f>Y71*Table1[[#This Row],[one-year conditional mortality NOW]]</f>
        <v>1.7436954584565685E-2</v>
      </c>
      <c r="AC72" s="14">
        <v>1.9699999999999999E-2</v>
      </c>
      <c r="AD72" s="28">
        <f>(1+Table1[[#This Row],[Yield curve now]])^(Table1[[#This Row],[age since issue]]-$A$23)</f>
        <v>2.6010490723531987</v>
      </c>
      <c r="AE72" s="46">
        <f t="shared" si="1"/>
        <v>0.5549449733122277</v>
      </c>
      <c r="AF72" s="42">
        <f>1-Table1[[#This Row],[cumulative debt until t]]</f>
        <v>0.4450550266877723</v>
      </c>
      <c r="AG72" s="46">
        <f>Table1[[#This Row],[cumulative debt until t]]*Table1[[#This Row],[Unconditional mortality NOW]]/Table1[[#This Row],[discouter with yield curve]]</f>
        <v>3.7202490331425561E-3</v>
      </c>
      <c r="AH72" s="48">
        <f>Table1[[#This Row],[Unconditional mortality NOW]]/Table1[[#This Row],[discouter with yield curve]]</f>
        <v>6.7038160755614942E-3</v>
      </c>
      <c r="AI72" s="29">
        <f>Table1[[#This Row],[user profit (death benefit - debt)]]*Table1[[#This Row],[Unconditional mortality NOW]]/Table1[[#This Row],[discouter with yield curve]]</f>
        <v>2.9835670424189376E-3</v>
      </c>
      <c r="AJ72" s="29">
        <f>(1+$D$4)^(Table1[[#This Row],[age since issue]]-$A$23)</f>
        <v>942.31081876865449</v>
      </c>
      <c r="AK72" s="57">
        <f>Table1[[#This Row],[level premium marked up]]*Table1[[#This Row],[unconditional survival NOW]]</f>
        <v>1.6075329714190466E-3</v>
      </c>
      <c r="AL72" s="62">
        <f>Table1[[#This Row],[cumulative debt until t]]*Table1[[#This Row],[Unconditional mortality NOW]]</f>
        <v>9.6765502965783304E-3</v>
      </c>
      <c r="AM72" s="47">
        <f>Table1[[#This Row],[probablistic premium stream]]/Table1[[#This Row],[lender discounter]]</f>
        <v>1.7059476972997696E-6</v>
      </c>
      <c r="AN72" s="58">
        <f>Table1[[#This Row],[probablistic repay from borrower]]/Table1[[#This Row],[lender discounter]]</f>
        <v>1.0268958080331674E-5</v>
      </c>
      <c r="AO72" s="47">
        <f>(Table1[[#This Row],[probablistic repay from borrower]]-Table1[[#This Row],[probablistic premium stream]])/Table1[[#This Row],[lender discounter]]</f>
        <v>8.5630103830319053E-6</v>
      </c>
      <c r="AP72" s="46">
        <f>AP71*(1+$D$4)+ Table1[[#This Row],[level premium marked up]]</f>
        <v>14.370552321455881</v>
      </c>
      <c r="AQ72" s="58">
        <f>AP72*Table1[[#This Row],[Unconditional mortality NOW]]</f>
        <v>0.25057866818435115</v>
      </c>
      <c r="AR72" s="60">
        <f>Table1[[#This Row],[cumulative debt until t]]*Table1[[#This Row],[Unconditional mortality NOW]]</f>
        <v>9.6765502965783304E-3</v>
      </c>
      <c r="AS72" s="58">
        <f>Table1[[#This Row],[lender to pay cumulative probablistic undiscounted]]/Table1[[#This Row],[lender discounter]]</f>
        <v>2.6591933701004274E-4</v>
      </c>
    </row>
    <row r="73" spans="1:45" s="3" customFormat="1">
      <c r="A73" s="3">
        <v>77</v>
      </c>
      <c r="B73" s="8">
        <v>3.2000000000000001E-2</v>
      </c>
      <c r="C73" s="3">
        <v>0</v>
      </c>
      <c r="D73" s="8">
        <v>3.2000000000000001E-2</v>
      </c>
      <c r="E73" s="12">
        <v>4.0079999999999998E-2</v>
      </c>
      <c r="F73" s="13">
        <f>1-Table1[[#This Row],[one-year conditional mortality AT ISSUE]]</f>
        <v>0.95992</v>
      </c>
      <c r="G73" s="13">
        <f>PRODUCT(F$17:F73)</f>
        <v>0.65246778840625408</v>
      </c>
      <c r="H73" s="13">
        <f>Table1[[#This Row],[one-year conditional survival AT ISSUE]]*(1-Table1[[#This Row],[Lapse rate]])</f>
        <v>0.92920256000000001</v>
      </c>
      <c r="I73" s="13">
        <f>PRODUCT(H$17:H73)</f>
        <v>6.9386206033940953E-2</v>
      </c>
      <c r="J73" s="13">
        <f>G72*Table1[[#This Row],[one-year conditional mortality AT ISSUE]]</f>
        <v>2.7242800399327714E-2</v>
      </c>
      <c r="K73" s="10">
        <f>I72*Table1[[#This Row],[one-year conditional mortality AT ISSUE]]</f>
        <v>2.9928879423667893E-3</v>
      </c>
      <c r="L73" s="3">
        <f t="shared" si="2"/>
        <v>1.9910109748700498E-3</v>
      </c>
      <c r="M73" s="44">
        <f>Table1[[#This Row],[Death benefit pay probability]]/Table1[[#This Row],[unconditional persistency AT ISSUE]]</f>
        <v>4.313375976923696E-2</v>
      </c>
      <c r="N73" s="44">
        <f>Table1[[#This Row],[one-year conditional mortality AT ISSUE]]/Table1[[#This Row],[one-year conditional persistency AT ISSUE]]</f>
        <v>4.3133759769236966E-2</v>
      </c>
      <c r="O73" s="4">
        <f>(1+$B$14)^(Table1[[#This Row],[age since issue]]-$A$17)</f>
        <v>6.8653010845686619</v>
      </c>
      <c r="P73" s="5">
        <f>(Table1[[#This Row],[level premium unmarked-up]]*Table1[[#This Row],[unconditional persistency AT ISSUE]]-Table1[[#This Row],[Death benefit pay probability]])</f>
        <v>-2.8547392446486184E-3</v>
      </c>
      <c r="Q73" s="4">
        <f>Table1[[#This Row],[Issuer profit with unmarked-up level premium]]/Table1[[#This Row],[Issuer discounter at issue]]</f>
        <v>-4.1582141984497945E-4</v>
      </c>
      <c r="R73" s="4">
        <f>(Table1[[#This Row],[variable premium unmarked up]]*Table1[[#This Row],[unconditional persistency AT ISSUE]]-Table1[[#This Row],[Death benefit pay probability]])</f>
        <v>0</v>
      </c>
      <c r="S73" s="6">
        <f>Table1[[#This Row],[level premium unmarked-up]]*(1+$B$15)</f>
        <v>1.9910109748700498E-3</v>
      </c>
      <c r="T73" s="6">
        <f>MIN(Table1[[#This Row],[variable premium unmarked up]]*(1+$B$15),1)</f>
        <v>4.313375976923696E-2</v>
      </c>
      <c r="U73" s="6">
        <f>Table1[[#This Row],[level premium marked up]]-Table1[[#This Row],[variable premium marked up]]</f>
        <v>-4.1142748794366912E-2</v>
      </c>
      <c r="V73" s="6">
        <f>Table1[[#This Row],[additional cash]]+V72*(1+$D$2)</f>
        <v>-0.33385137442194307</v>
      </c>
      <c r="W73" s="12">
        <v>2.385E-2</v>
      </c>
      <c r="X73" s="13">
        <f>1-Table1[[#This Row],[one-year conditional mortality NOW]]</f>
        <v>0.97614999999999996</v>
      </c>
      <c r="Y73" s="49">
        <f>PRODUCT(X$17:X73)</f>
        <v>0.78813895546362878</v>
      </c>
      <c r="Z73" s="13">
        <f>Table1[[#This Row],[one-year conditional survival NOW]]*(1-Table1[[#This Row],[Lapse rate]])</f>
        <v>0.9449131999999999</v>
      </c>
      <c r="AA73" s="13">
        <f>PRODUCT(Z$17:Z73)</f>
        <v>0.12256141624073777</v>
      </c>
      <c r="AB73" s="50">
        <f>Y72*Table1[[#This Row],[one-year conditional mortality NOW]]</f>
        <v>1.9256378720286377E-2</v>
      </c>
      <c r="AC73" s="14">
        <v>1.9699999999999999E-2</v>
      </c>
      <c r="AD73" s="28">
        <f>(1+Table1[[#This Row],[Yield curve now]])^(Table1[[#This Row],[age since issue]]-$A$23)</f>
        <v>2.6522897390785567</v>
      </c>
      <c r="AE73" s="46">
        <f t="shared" si="1"/>
        <v>0.58972677757953607</v>
      </c>
      <c r="AF73" s="42">
        <f>1-Table1[[#This Row],[cumulative debt until t]]</f>
        <v>0.41027322242046393</v>
      </c>
      <c r="AG73" s="46">
        <f>Table1[[#This Row],[cumulative debt until t]]*Table1[[#This Row],[Unconditional mortality NOW]]/Table1[[#This Row],[discouter with yield curve]]</f>
        <v>4.2815843243848885E-3</v>
      </c>
      <c r="AH73" s="48">
        <f>Table1[[#This Row],[Unconditional mortality NOW]]/Table1[[#This Row],[discouter with yield curve]]</f>
        <v>7.26028474060165E-3</v>
      </c>
      <c r="AI73" s="29">
        <f>Table1[[#This Row],[user profit (death benefit - debt)]]*Table1[[#This Row],[Unconditional mortality NOW]]/Table1[[#This Row],[discouter with yield curve]]</f>
        <v>2.9787004162167611E-3</v>
      </c>
      <c r="AJ73" s="29">
        <f>(1+$D$4)^(Table1[[#This Row],[age since issue]]-$A$23)</f>
        <v>1083.6574415839525</v>
      </c>
      <c r="AK73" s="57">
        <f>Table1[[#This Row],[level premium marked up]]*Table1[[#This Row],[unconditional survival NOW]]</f>
        <v>1.5691933100507023E-3</v>
      </c>
      <c r="AL73" s="62">
        <f>Table1[[#This Row],[cumulative debt until t]]*Table1[[#This Row],[Unconditional mortality NOW]]</f>
        <v>1.1356002170565635E-2</v>
      </c>
      <c r="AM73" s="47">
        <f>Table1[[#This Row],[probablistic premium stream]]/Table1[[#This Row],[lender discounter]]</f>
        <v>1.4480529084514525E-6</v>
      </c>
      <c r="AN73" s="58">
        <f>Table1[[#This Row],[probablistic repay from borrower]]/Table1[[#This Row],[lender discounter]]</f>
        <v>1.0479328369643157E-5</v>
      </c>
      <c r="AO73" s="47">
        <f>(Table1[[#This Row],[probablistic repay from borrower]]-Table1[[#This Row],[probablistic premium stream]])/Table1[[#This Row],[lender discounter]]</f>
        <v>9.031275461191704E-6</v>
      </c>
      <c r="AP73" s="46">
        <f>AP72*(1+$D$4)+ Table1[[#This Row],[level premium marked up]]</f>
        <v>16.528126180649132</v>
      </c>
      <c r="AQ73" s="58">
        <f>AP73*Table1[[#This Row],[Unconditional mortality NOW]]</f>
        <v>0.31827185727126006</v>
      </c>
      <c r="AR73" s="60">
        <f>Table1[[#This Row],[cumulative debt until t]]*Table1[[#This Row],[Unconditional mortality NOW]]</f>
        <v>1.1356002170565635E-2</v>
      </c>
      <c r="AS73" s="58">
        <f>Table1[[#This Row],[lender to pay cumulative probablistic undiscounted]]/Table1[[#This Row],[lender discounter]]</f>
        <v>2.9370153801191155E-4</v>
      </c>
    </row>
    <row r="74" spans="1:45" s="3" customFormat="1">
      <c r="A74" s="3">
        <v>78</v>
      </c>
      <c r="B74" s="8">
        <v>3.2000000000000001E-2</v>
      </c>
      <c r="C74" s="3">
        <v>0</v>
      </c>
      <c r="D74" s="8">
        <v>3.2000000000000001E-2</v>
      </c>
      <c r="E74" s="12">
        <v>4.4470000000000003E-2</v>
      </c>
      <c r="F74" s="13">
        <f>1-Table1[[#This Row],[one-year conditional mortality AT ISSUE]]</f>
        <v>0.95552999999999999</v>
      </c>
      <c r="G74" s="13">
        <f>PRODUCT(F$17:F74)</f>
        <v>0.62345254585582799</v>
      </c>
      <c r="H74" s="13">
        <f>Table1[[#This Row],[one-year conditional survival AT ISSUE]]*(1-Table1[[#This Row],[Lapse rate]])</f>
        <v>0.92495304</v>
      </c>
      <c r="I74" s="13">
        <f>PRODUCT(H$17:H74)</f>
        <v>6.4178982205160023E-2</v>
      </c>
      <c r="J74" s="13">
        <f>G73*Table1[[#This Row],[one-year conditional mortality AT ISSUE]]</f>
        <v>2.9015242550426121E-2</v>
      </c>
      <c r="K74" s="10">
        <f>I73*Table1[[#This Row],[one-year conditional mortality AT ISSUE]]</f>
        <v>3.0856045823293545E-3</v>
      </c>
      <c r="L74" s="3">
        <f t="shared" si="2"/>
        <v>1.9910109748700498E-3</v>
      </c>
      <c r="M74" s="44">
        <f>Table1[[#This Row],[Death benefit pay probability]]/Table1[[#This Row],[unconditional persistency AT ISSUE]]</f>
        <v>4.8078116484702844E-2</v>
      </c>
      <c r="N74" s="44">
        <f>Table1[[#This Row],[one-year conditional mortality AT ISSUE]]/Table1[[#This Row],[one-year conditional persistency AT ISSUE]]</f>
        <v>4.8078116484702837E-2</v>
      </c>
      <c r="O74" s="4">
        <f>(1+$B$14)^(Table1[[#This Row],[age since issue]]-$A$17)</f>
        <v>7.1055866225285644</v>
      </c>
      <c r="P74" s="5">
        <f>(Table1[[#This Row],[level premium unmarked-up]]*Table1[[#This Row],[unconditional persistency AT ISSUE]]-Table1[[#This Row],[Death benefit pay probability]])</f>
        <v>-2.9578235244028914E-3</v>
      </c>
      <c r="Q74" s="4">
        <f>Table1[[#This Row],[Issuer profit with unmarked-up level premium]]/Table1[[#This Row],[Issuer discounter at issue]]</f>
        <v>-4.1626732337974546E-4</v>
      </c>
      <c r="R74" s="4">
        <f>(Table1[[#This Row],[variable premium unmarked up]]*Table1[[#This Row],[unconditional persistency AT ISSUE]]-Table1[[#This Row],[Death benefit pay probability]])</f>
        <v>0</v>
      </c>
      <c r="S74" s="6">
        <f>Table1[[#This Row],[level premium unmarked-up]]*(1+$B$15)</f>
        <v>1.9910109748700498E-3</v>
      </c>
      <c r="T74" s="6">
        <f>MIN(Table1[[#This Row],[variable premium unmarked up]]*(1+$B$15),1)</f>
        <v>4.8078116484702844E-2</v>
      </c>
      <c r="U74" s="6">
        <f>Table1[[#This Row],[level premium marked up]]-Table1[[#This Row],[variable premium marked up]]</f>
        <v>-4.6087105509832797E-2</v>
      </c>
      <c r="V74" s="6">
        <f>Table1[[#This Row],[additional cash]]+V73*(1+$D$2)</f>
        <v>-0.38027233130619781</v>
      </c>
      <c r="W74" s="12">
        <v>2.683E-2</v>
      </c>
      <c r="X74" s="13">
        <f>1-Table1[[#This Row],[one-year conditional mortality NOW]]</f>
        <v>0.97316999999999998</v>
      </c>
      <c r="Y74" s="49">
        <f>PRODUCT(X$17:X74)</f>
        <v>0.7669931872885396</v>
      </c>
      <c r="Z74" s="13">
        <f>Table1[[#This Row],[one-year conditional survival NOW]]*(1-Table1[[#This Row],[Lapse rate]])</f>
        <v>0.9420285599999999</v>
      </c>
      <c r="AA74" s="13">
        <f>PRODUCT(Z$17:Z74)</f>
        <v>0.1154563544528228</v>
      </c>
      <c r="AB74" s="50">
        <f>Y73*Table1[[#This Row],[one-year conditional mortality NOW]]</f>
        <v>2.1145768175089161E-2</v>
      </c>
      <c r="AC74" s="14">
        <v>1.9699999999999999E-2</v>
      </c>
      <c r="AD74" s="28">
        <f>(1+Table1[[#This Row],[Yield curve now]])^(Table1[[#This Row],[age since issue]]-$A$23)</f>
        <v>2.7045398469384043</v>
      </c>
      <c r="AE74" s="46">
        <f t="shared" si="1"/>
        <v>0.62655643471727307</v>
      </c>
      <c r="AF74" s="42">
        <f>1-Table1[[#This Row],[cumulative debt until t]]</f>
        <v>0.37344356528272693</v>
      </c>
      <c r="AG74" s="46">
        <f>Table1[[#This Row],[cumulative debt until t]]*Table1[[#This Row],[Unconditional mortality NOW]]/Table1[[#This Row],[discouter with yield curve]]</f>
        <v>4.8988064021833529E-3</v>
      </c>
      <c r="AH74" s="48">
        <f>Table1[[#This Row],[Unconditional mortality NOW]]/Table1[[#This Row],[discouter with yield curve]]</f>
        <v>7.8186195699895544E-3</v>
      </c>
      <c r="AI74" s="29">
        <f>Table1[[#This Row],[user profit (death benefit - debt)]]*Table1[[#This Row],[Unconditional mortality NOW]]/Table1[[#This Row],[discouter with yield curve]]</f>
        <v>2.9198131678062006E-3</v>
      </c>
      <c r="AJ74" s="29">
        <f>(1+$D$4)^(Table1[[#This Row],[age since issue]]-$A$23)</f>
        <v>1246.2060578215453</v>
      </c>
      <c r="AK74" s="57">
        <f>Table1[[#This Row],[level premium marked up]]*Table1[[#This Row],[unconditional survival NOW]]</f>
        <v>1.5270918535420419E-3</v>
      </c>
      <c r="AL74" s="62">
        <f>Table1[[#This Row],[cumulative debt until t]]*Table1[[#This Row],[Unconditional mortality NOW]]</f>
        <v>1.3249017117141841E-2</v>
      </c>
      <c r="AM74" s="47">
        <f>Table1[[#This Row],[probablistic premium stream]]/Table1[[#This Row],[lender discounter]]</f>
        <v>1.2253927381893043E-6</v>
      </c>
      <c r="AN74" s="58">
        <f>Table1[[#This Row],[probablistic repay from borrower]]/Table1[[#This Row],[lender discounter]]</f>
        <v>1.0631481875719689E-5</v>
      </c>
      <c r="AO74" s="47">
        <f>(Table1[[#This Row],[probablistic repay from borrower]]-Table1[[#This Row],[probablistic premium stream]])/Table1[[#This Row],[lender discounter]]</f>
        <v>9.4060891375303844E-6</v>
      </c>
      <c r="AP74" s="46">
        <f>AP73*(1+$D$4)+ Table1[[#This Row],[level premium marked up]]</f>
        <v>19.009336118721368</v>
      </c>
      <c r="AQ74" s="58">
        <f>AP74*Table1[[#This Row],[Unconditional mortality NOW]]</f>
        <v>0.40196701472883123</v>
      </c>
      <c r="AR74" s="60">
        <f>Table1[[#This Row],[cumulative debt until t]]*Table1[[#This Row],[Unconditional mortality NOW]]</f>
        <v>1.3249017117141841E-2</v>
      </c>
      <c r="AS74" s="58">
        <f>Table1[[#This Row],[lender to pay cumulative probablistic undiscounted]]/Table1[[#This Row],[lender discounter]]</f>
        <v>3.2255260854011374E-4</v>
      </c>
    </row>
    <row r="75" spans="1:45" s="3" customFormat="1">
      <c r="A75" s="3">
        <v>79</v>
      </c>
      <c r="B75" s="8">
        <v>3.2000000000000001E-2</v>
      </c>
      <c r="C75" s="3">
        <v>0</v>
      </c>
      <c r="D75" s="8">
        <v>3.2000000000000001E-2</v>
      </c>
      <c r="E75" s="12">
        <v>4.9610000000000001E-2</v>
      </c>
      <c r="F75" s="13">
        <f>1-Table1[[#This Row],[one-year conditional mortality AT ISSUE]]</f>
        <v>0.95038999999999996</v>
      </c>
      <c r="G75" s="13">
        <f>PRODUCT(F$17:F75)</f>
        <v>0.59252306505592034</v>
      </c>
      <c r="H75" s="13">
        <f>Table1[[#This Row],[one-year conditional survival AT ISSUE]]*(1-Table1[[#This Row],[Lapse rate]])</f>
        <v>0.91997751999999988</v>
      </c>
      <c r="I75" s="13">
        <f>PRODUCT(H$17:H75)</f>
        <v>5.9043220885227239E-2</v>
      </c>
      <c r="J75" s="13">
        <f>G74*Table1[[#This Row],[one-year conditional mortality AT ISSUE]]</f>
        <v>3.0929480799907628E-2</v>
      </c>
      <c r="K75" s="10">
        <f>I74*Table1[[#This Row],[one-year conditional mortality AT ISSUE]]</f>
        <v>3.1839193071979887E-3</v>
      </c>
      <c r="L75" s="3">
        <f t="shared" si="2"/>
        <v>1.9910109748700498E-3</v>
      </c>
      <c r="M75" s="44">
        <f>Table1[[#This Row],[Death benefit pay probability]]/Table1[[#This Row],[unconditional persistency AT ISSUE]]</f>
        <v>5.3925230694767422E-2</v>
      </c>
      <c r="N75" s="44">
        <f>Table1[[#This Row],[one-year conditional mortality AT ISSUE]]/Table1[[#This Row],[one-year conditional persistency AT ISSUE]]</f>
        <v>5.3925230694767422E-2</v>
      </c>
      <c r="O75" s="4">
        <f>(1+$B$14)^(Table1[[#This Row],[age since issue]]-$A$17)</f>
        <v>7.3542821543170644</v>
      </c>
      <c r="P75" s="5">
        <f>(Table1[[#This Row],[level premium unmarked-up]]*Table1[[#This Row],[unconditional persistency AT ISSUE]]-Table1[[#This Row],[Death benefit pay probability]])</f>
        <v>-3.0663636064238247E-3</v>
      </c>
      <c r="Q75" s="4">
        <f>Table1[[#This Row],[Issuer profit with unmarked-up level premium]]/Table1[[#This Row],[Issuer discounter at issue]]</f>
        <v>-4.1694941016423028E-4</v>
      </c>
      <c r="R75" s="4">
        <f>(Table1[[#This Row],[variable premium unmarked up]]*Table1[[#This Row],[unconditional persistency AT ISSUE]]-Table1[[#This Row],[Death benefit pay probability]])</f>
        <v>0</v>
      </c>
      <c r="S75" s="6">
        <f>Table1[[#This Row],[level premium unmarked-up]]*(1+$B$15)</f>
        <v>1.9910109748700498E-3</v>
      </c>
      <c r="T75" s="6">
        <f>MIN(Table1[[#This Row],[variable premium unmarked up]]*(1+$B$15),1)</f>
        <v>5.3925230694767422E-2</v>
      </c>
      <c r="U75" s="6">
        <f>Table1[[#This Row],[level premium marked up]]-Table1[[#This Row],[variable premium marked up]]</f>
        <v>-5.1934219719897375E-2</v>
      </c>
      <c r="V75" s="6">
        <f>Table1[[#This Row],[additional cash]]+V74*(1+$D$2)</f>
        <v>-0.43258682335740134</v>
      </c>
      <c r="W75" s="12">
        <v>3.0130000000000001E-2</v>
      </c>
      <c r="X75" s="13">
        <f>1-Table1[[#This Row],[one-year conditional mortality NOW]]</f>
        <v>0.96987000000000001</v>
      </c>
      <c r="Y75" s="49">
        <f>PRODUCT(X$17:X75)</f>
        <v>0.74388368255553594</v>
      </c>
      <c r="Z75" s="13">
        <f>Table1[[#This Row],[one-year conditional survival NOW]]*(1-Table1[[#This Row],[Lapse rate]])</f>
        <v>0.93883415999999997</v>
      </c>
      <c r="AA75" s="13">
        <f>PRODUCT(Z$17:Z75)</f>
        <v>0.10839436954937816</v>
      </c>
      <c r="AB75" s="50">
        <f>Y74*Table1[[#This Row],[one-year conditional mortality NOW]]</f>
        <v>2.3109504733003699E-2</v>
      </c>
      <c r="AC75" s="14">
        <v>1.9699999999999999E-2</v>
      </c>
      <c r="AD75" s="28">
        <f>(1+Table1[[#This Row],[Yield curve now]])^(Table1[[#This Row],[age since issue]]-$A$23)</f>
        <v>2.7578192819230911</v>
      </c>
      <c r="AE75" s="46">
        <f t="shared" si="1"/>
        <v>0.66555451642858254</v>
      </c>
      <c r="AF75" s="42">
        <f>1-Table1[[#This Row],[cumulative debt until t]]</f>
        <v>0.33444548357141746</v>
      </c>
      <c r="AG75" s="46">
        <f>Table1[[#This Row],[cumulative debt until t]]*Table1[[#This Row],[Unconditional mortality NOW]]/Table1[[#This Row],[discouter with yield curve]]</f>
        <v>5.5771004823612098E-3</v>
      </c>
      <c r="AH75" s="48">
        <f>Table1[[#This Row],[Unconditional mortality NOW]]/Table1[[#This Row],[discouter with yield curve]]</f>
        <v>8.3796298345150833E-3</v>
      </c>
      <c r="AI75" s="29">
        <f>Table1[[#This Row],[user profit (death benefit - debt)]]*Table1[[#This Row],[Unconditional mortality NOW]]/Table1[[#This Row],[discouter with yield curve]]</f>
        <v>2.802529352153874E-3</v>
      </c>
      <c r="AJ75" s="29">
        <f>(1+$D$4)^(Table1[[#This Row],[age since issue]]-$A$23)</f>
        <v>1433.136966494777</v>
      </c>
      <c r="AK75" s="57">
        <f>Table1[[#This Row],[level premium marked up]]*Table1[[#This Row],[unconditional survival NOW]]</f>
        <v>1.4810805759948203E-3</v>
      </c>
      <c r="AL75" s="62">
        <f>Table1[[#This Row],[cumulative debt until t]]*Table1[[#This Row],[Unconditional mortality NOW]]</f>
        <v>1.5380635247478316E-2</v>
      </c>
      <c r="AM75" s="47">
        <f>Table1[[#This Row],[probablistic premium stream]]/Table1[[#This Row],[lender discounter]]</f>
        <v>1.0334536130327485E-6</v>
      </c>
      <c r="AN75" s="58">
        <f>Table1[[#This Row],[probablistic repay from borrower]]/Table1[[#This Row],[lender discounter]]</f>
        <v>1.0732146059351801E-5</v>
      </c>
      <c r="AO75" s="47">
        <f>(Table1[[#This Row],[probablistic repay from borrower]]-Table1[[#This Row],[probablistic premium stream]])/Table1[[#This Row],[lender discounter]]</f>
        <v>9.6986924463190535E-6</v>
      </c>
      <c r="AP75" s="46">
        <f>AP74*(1+$D$4)+ Table1[[#This Row],[level premium marked up]]</f>
        <v>21.862727547504441</v>
      </c>
      <c r="AQ75" s="58">
        <f>AP75*Table1[[#This Row],[Unconditional mortality NOW]]</f>
        <v>0.50523680573542429</v>
      </c>
      <c r="AR75" s="60">
        <f>Table1[[#This Row],[cumulative debt until t]]*Table1[[#This Row],[Unconditional mortality NOW]]</f>
        <v>1.5380635247478316E-2</v>
      </c>
      <c r="AS75" s="58">
        <f>Table1[[#This Row],[lender to pay cumulative probablistic undiscounted]]/Table1[[#This Row],[lender discounter]]</f>
        <v>3.5253909259709657E-4</v>
      </c>
    </row>
    <row r="76" spans="1:45" s="3" customFormat="1">
      <c r="A76" s="3">
        <v>80</v>
      </c>
      <c r="B76" s="8">
        <v>3.2000000000000001E-2</v>
      </c>
      <c r="C76" s="3">
        <v>0</v>
      </c>
      <c r="D76" s="8">
        <v>3.2000000000000001E-2</v>
      </c>
      <c r="E76" s="12">
        <v>5.5559999999999998E-2</v>
      </c>
      <c r="F76" s="13">
        <f>1-Table1[[#This Row],[one-year conditional mortality AT ISSUE]]</f>
        <v>0.94443999999999995</v>
      </c>
      <c r="G76" s="13">
        <f>PRODUCT(F$17:F76)</f>
        <v>0.5596024835614134</v>
      </c>
      <c r="H76" s="13">
        <f>Table1[[#This Row],[one-year conditional survival AT ISSUE]]*(1-Table1[[#This Row],[Lapse rate]])</f>
        <v>0.91421791999999991</v>
      </c>
      <c r="I76" s="13">
        <f>PRODUCT(H$17:H76)</f>
        <v>5.3978370587793E-2</v>
      </c>
      <c r="J76" s="13">
        <f>G75*Table1[[#This Row],[one-year conditional mortality AT ISSUE]]</f>
        <v>3.2920581494506933E-2</v>
      </c>
      <c r="K76" s="10">
        <f>I75*Table1[[#This Row],[one-year conditional mortality AT ISSUE]]</f>
        <v>3.2804413523832253E-3</v>
      </c>
      <c r="L76" s="3">
        <f t="shared" si="2"/>
        <v>1.9910109748700498E-3</v>
      </c>
      <c r="M76" s="44">
        <f>Table1[[#This Row],[Death benefit pay probability]]/Table1[[#This Row],[unconditional persistency AT ISSUE]]</f>
        <v>6.077325633695739E-2</v>
      </c>
      <c r="N76" s="44">
        <f>Table1[[#This Row],[one-year conditional mortality AT ISSUE]]/Table1[[#This Row],[one-year conditional persistency AT ISSUE]]</f>
        <v>6.077325633695739E-2</v>
      </c>
      <c r="O76" s="4">
        <f>(1+$B$14)^(Table1[[#This Row],[age since issue]]-$A$17)</f>
        <v>7.6116820297181622</v>
      </c>
      <c r="P76" s="5">
        <f>(Table1[[#This Row],[level premium unmarked-up]]*Table1[[#This Row],[unconditional persistency AT ISSUE]]-Table1[[#This Row],[Death benefit pay probability]])</f>
        <v>-3.1729698241373268E-3</v>
      </c>
      <c r="Q76" s="4">
        <f>Table1[[#This Row],[Issuer profit with unmarked-up level premium]]/Table1[[#This Row],[Issuer discounter at issue]]</f>
        <v>-4.1685527742083212E-4</v>
      </c>
      <c r="R76" s="4">
        <f>(Table1[[#This Row],[variable premium unmarked up]]*Table1[[#This Row],[unconditional persistency AT ISSUE]]-Table1[[#This Row],[Death benefit pay probability]])</f>
        <v>0</v>
      </c>
      <c r="S76" s="6">
        <f>Table1[[#This Row],[level premium unmarked-up]]*(1+$B$15)</f>
        <v>1.9910109748700498E-3</v>
      </c>
      <c r="T76" s="6">
        <f>MIN(Table1[[#This Row],[variable premium unmarked up]]*(1+$B$15),1)</f>
        <v>6.077325633695739E-2</v>
      </c>
      <c r="U76" s="6">
        <f>Table1[[#This Row],[level premium marked up]]-Table1[[#This Row],[variable premium marked up]]</f>
        <v>-5.8782245362087343E-2</v>
      </c>
      <c r="V76" s="6">
        <f>Table1[[#This Row],[additional cash]]+V75*(1+$D$2)</f>
        <v>-0.49180165554284605</v>
      </c>
      <c r="W76" s="12">
        <v>3.39E-2</v>
      </c>
      <c r="X76" s="13">
        <f>1-Table1[[#This Row],[one-year conditional mortality NOW]]</f>
        <v>0.96609999999999996</v>
      </c>
      <c r="Y76" s="49">
        <f>PRODUCT(X$17:X76)</f>
        <v>0.71866602571690319</v>
      </c>
      <c r="Z76" s="13">
        <f>Table1[[#This Row],[one-year conditional survival NOW]]*(1-Table1[[#This Row],[Lapse rate]])</f>
        <v>0.93518479999999993</v>
      </c>
      <c r="AA76" s="13">
        <f>PRODUCT(Z$17:Z76)</f>
        <v>0.1013687668081613</v>
      </c>
      <c r="AB76" s="50">
        <f>Y75*Table1[[#This Row],[one-year conditional mortality NOW]]</f>
        <v>2.5217656838632668E-2</v>
      </c>
      <c r="AC76" s="14">
        <v>1.9699999999999999E-2</v>
      </c>
      <c r="AD76" s="28">
        <f>(1+Table1[[#This Row],[Yield curve now]])^(Table1[[#This Row],[age since issue]]-$A$23)</f>
        <v>2.8121483217769763</v>
      </c>
      <c r="AE76" s="46">
        <f t="shared" si="1"/>
        <v>0.70684869333265288</v>
      </c>
      <c r="AF76" s="42">
        <f>1-Table1[[#This Row],[cumulative debt until t]]</f>
        <v>0.29315130666734712</v>
      </c>
      <c r="AG76" s="46">
        <f>Table1[[#This Row],[cumulative debt until t]]*Table1[[#This Row],[Unconditional mortality NOW]]/Table1[[#This Row],[discouter with yield curve]]</f>
        <v>6.3385944643329509E-3</v>
      </c>
      <c r="AH76" s="48">
        <f>Table1[[#This Row],[Unconditional mortality NOW]]/Table1[[#This Row],[discouter with yield curve]]</f>
        <v>8.9673992809518009E-3</v>
      </c>
      <c r="AI76" s="29">
        <f>Table1[[#This Row],[user profit (death benefit - debt)]]*Table1[[#This Row],[Unconditional mortality NOW]]/Table1[[#This Row],[discouter with yield curve]]</f>
        <v>2.6288048166188491E-3</v>
      </c>
      <c r="AJ76" s="29">
        <f>(1+$D$4)^(Table1[[#This Row],[age since issue]]-$A$23)</f>
        <v>1648.1075114689934</v>
      </c>
      <c r="AK76" s="57">
        <f>Table1[[#This Row],[level premium marked up]]*Table1[[#This Row],[unconditional survival NOW]]</f>
        <v>1.4308719444685958E-3</v>
      </c>
      <c r="AL76" s="62">
        <f>Table1[[#This Row],[cumulative debt until t]]*Table1[[#This Row],[Unconditional mortality NOW]]</f>
        <v>1.7825067785298739E-2</v>
      </c>
      <c r="AM76" s="47">
        <f>Table1[[#This Row],[probablistic premium stream]]/Table1[[#This Row],[lender discounter]]</f>
        <v>8.6819090047907678E-7</v>
      </c>
      <c r="AN76" s="58">
        <f>Table1[[#This Row],[probablistic repay from borrower]]/Table1[[#This Row],[lender discounter]]</f>
        <v>1.0815476333464967E-5</v>
      </c>
      <c r="AO76" s="47">
        <f>(Table1[[#This Row],[probablistic repay from borrower]]-Table1[[#This Row],[probablistic premium stream]])/Table1[[#This Row],[lender discounter]]</f>
        <v>9.9472854329858897E-6</v>
      </c>
      <c r="AP76" s="46">
        <f>AP75*(1+$D$4)+ Table1[[#This Row],[level premium marked up]]</f>
        <v>25.144127690604975</v>
      </c>
      <c r="AQ76" s="58">
        <f>AP76*Table1[[#This Row],[Unconditional mortality NOW]]</f>
        <v>0.63407598360843764</v>
      </c>
      <c r="AR76" s="60">
        <f>Table1[[#This Row],[cumulative debt until t]]*Table1[[#This Row],[Unconditional mortality NOW]]</f>
        <v>1.7825067785298739E-2</v>
      </c>
      <c r="AS76" s="58">
        <f>Table1[[#This Row],[lender to pay cumulative probablistic undiscounted]]/Table1[[#This Row],[lender discounter]]</f>
        <v>3.8472974559971044E-4</v>
      </c>
    </row>
    <row r="77" spans="1:45" s="3" customFormat="1">
      <c r="A77" s="3">
        <v>81</v>
      </c>
      <c r="B77" s="8">
        <v>3.2000000000000001E-2</v>
      </c>
      <c r="C77" s="3">
        <v>0</v>
      </c>
      <c r="D77" s="8">
        <v>3.2000000000000001E-2</v>
      </c>
      <c r="E77" s="12">
        <v>6.2050000000000001E-2</v>
      </c>
      <c r="F77" s="13">
        <f>1-Table1[[#This Row],[one-year conditional mortality AT ISSUE]]</f>
        <v>0.93794999999999995</v>
      </c>
      <c r="G77" s="13">
        <f>PRODUCT(F$17:F77)</f>
        <v>0.52487914945642766</v>
      </c>
      <c r="H77" s="13">
        <f>Table1[[#This Row],[one-year conditional survival AT ISSUE]]*(1-Table1[[#This Row],[Lapse rate]])</f>
        <v>0.90793559999999995</v>
      </c>
      <c r="I77" s="13">
        <f>PRODUCT(H$17:H77)</f>
        <v>4.9008884286650185E-2</v>
      </c>
      <c r="J77" s="13">
        <f>G76*Table1[[#This Row],[one-year conditional mortality AT ISSUE]]</f>
        <v>3.4723334104985702E-2</v>
      </c>
      <c r="K77" s="10">
        <f>I76*Table1[[#This Row],[one-year conditional mortality AT ISSUE]]</f>
        <v>3.3493578949725556E-3</v>
      </c>
      <c r="L77" s="3">
        <f t="shared" si="2"/>
        <v>1.9910109748700498E-3</v>
      </c>
      <c r="M77" s="44">
        <f>Table1[[#This Row],[Death benefit pay probability]]/Table1[[#This Row],[unconditional persistency AT ISSUE]]</f>
        <v>6.8341851558634786E-2</v>
      </c>
      <c r="N77" s="44">
        <f>Table1[[#This Row],[one-year conditional mortality AT ISSUE]]/Table1[[#This Row],[one-year conditional persistency AT ISSUE]]</f>
        <v>6.8341851558634786E-2</v>
      </c>
      <c r="O77" s="4">
        <f>(1+$B$14)^(Table1[[#This Row],[age since issue]]-$A$17)</f>
        <v>7.8780909007582975</v>
      </c>
      <c r="P77" s="5">
        <f>(Table1[[#This Row],[level premium unmarked-up]]*Table1[[#This Row],[unconditional persistency AT ISSUE]]-Table1[[#This Row],[Death benefit pay probability]])</f>
        <v>-3.2517806684916988E-3</v>
      </c>
      <c r="Q77" s="4">
        <f>Table1[[#This Row],[Issuer profit with unmarked-up level premium]]/Table1[[#This Row],[Issuer discounter at issue]]</f>
        <v>-4.1276252196819686E-4</v>
      </c>
      <c r="R77" s="4">
        <f>(Table1[[#This Row],[variable premium unmarked up]]*Table1[[#This Row],[unconditional persistency AT ISSUE]]-Table1[[#This Row],[Death benefit pay probability]])</f>
        <v>4.3368086899420177E-19</v>
      </c>
      <c r="S77" s="6">
        <f>Table1[[#This Row],[level premium unmarked-up]]*(1+$B$15)</f>
        <v>1.9910109748700498E-3</v>
      </c>
      <c r="T77" s="6">
        <f>MIN(Table1[[#This Row],[variable premium unmarked up]]*(1+$B$15),1)</f>
        <v>6.8341851558634786E-2</v>
      </c>
      <c r="U77" s="6">
        <f>Table1[[#This Row],[level premium marked up]]-Table1[[#This Row],[variable premium marked up]]</f>
        <v>-6.6350840583764739E-2</v>
      </c>
      <c r="V77" s="6">
        <f>Table1[[#This Row],[additional cash]]+V76*(1+$D$2)</f>
        <v>-0.55864429778215363</v>
      </c>
      <c r="W77" s="12">
        <v>3.8260000000000002E-2</v>
      </c>
      <c r="X77" s="13">
        <f>1-Table1[[#This Row],[one-year conditional mortality NOW]]</f>
        <v>0.96174000000000004</v>
      </c>
      <c r="Y77" s="49">
        <f>PRODUCT(X$17:X77)</f>
        <v>0.6911698635729745</v>
      </c>
      <c r="Z77" s="13">
        <f>Table1[[#This Row],[one-year conditional survival NOW]]*(1-Table1[[#This Row],[Lapse rate]])</f>
        <v>0.93096431999999996</v>
      </c>
      <c r="AA77" s="13">
        <f>PRODUCT(Z$17:Z77)</f>
        <v>9.4370705060798449E-2</v>
      </c>
      <c r="AB77" s="50">
        <f>Y76*Table1[[#This Row],[one-year conditional mortality NOW]]</f>
        <v>2.7496162143928717E-2</v>
      </c>
      <c r="AC77" s="14">
        <v>1.9699999999999999E-2</v>
      </c>
      <c r="AD77" s="28">
        <f>(1+Table1[[#This Row],[Yield curve now]])^(Table1[[#This Row],[age since issue]]-$A$23)</f>
        <v>2.8675476437159824</v>
      </c>
      <c r="AE77" s="46">
        <f t="shared" si="1"/>
        <v>0.75057415292853202</v>
      </c>
      <c r="AF77" s="42">
        <f>1-Table1[[#This Row],[cumulative debt until t]]</f>
        <v>0.24942584707146798</v>
      </c>
      <c r="AG77" s="46">
        <f>Table1[[#This Row],[cumulative debt until t]]*Table1[[#This Row],[Unconditional mortality NOW]]/Table1[[#This Row],[discouter with yield curve]]</f>
        <v>7.1970586627187558E-3</v>
      </c>
      <c r="AH77" s="48">
        <f>Table1[[#This Row],[Unconditional mortality NOW]]/Table1[[#This Row],[discouter with yield curve]]</f>
        <v>9.5887376811975601E-3</v>
      </c>
      <c r="AI77" s="29">
        <f>Table1[[#This Row],[user profit (death benefit - debt)]]*Table1[[#This Row],[Unconditional mortality NOW]]/Table1[[#This Row],[discouter with yield curve]]</f>
        <v>2.3916790184788051E-3</v>
      </c>
      <c r="AJ77" s="29">
        <f>(1+$D$4)^(Table1[[#This Row],[age since issue]]-$A$23)</f>
        <v>1895.3236381893423</v>
      </c>
      <c r="AK77" s="57">
        <f>Table1[[#This Row],[level premium marked up]]*Table1[[#This Row],[unconditional survival NOW]]</f>
        <v>1.3761267838732273E-3</v>
      </c>
      <c r="AL77" s="62">
        <f>Table1[[#This Row],[cumulative debt until t]]*Table1[[#This Row],[Unconditional mortality NOW]]</f>
        <v>2.0637908609964867E-2</v>
      </c>
      <c r="AM77" s="47">
        <f>Table1[[#This Row],[probablistic premium stream]]/Table1[[#This Row],[lender discounter]]</f>
        <v>7.2606427532760643E-7</v>
      </c>
      <c r="AN77" s="58">
        <f>Table1[[#This Row],[probablistic repay from borrower]]/Table1[[#This Row],[lender discounter]]</f>
        <v>1.0888857287550563E-5</v>
      </c>
      <c r="AO77" s="47">
        <f>(Table1[[#This Row],[probablistic repay from borrower]]-Table1[[#This Row],[probablistic premium stream]])/Table1[[#This Row],[lender discounter]]</f>
        <v>1.0162793012222956E-5</v>
      </c>
      <c r="AP77" s="46">
        <f>AP76*(1+$D$4)+ Table1[[#This Row],[level premium marked up]]</f>
        <v>28.917737855170589</v>
      </c>
      <c r="AQ77" s="58">
        <f>AP77*Table1[[#This Row],[Unconditional mortality NOW]]</f>
        <v>0.79512680890139598</v>
      </c>
      <c r="AR77" s="60">
        <f>Table1[[#This Row],[cumulative debt until t]]*Table1[[#This Row],[Unconditional mortality NOW]]</f>
        <v>2.0637908609964867E-2</v>
      </c>
      <c r="AS77" s="58">
        <f>Table1[[#This Row],[lender to pay cumulative probablistic undiscounted]]/Table1[[#This Row],[lender discounter]]</f>
        <v>4.1952033567259453E-4</v>
      </c>
    </row>
    <row r="78" spans="1:45" s="3" customFormat="1">
      <c r="A78" s="3">
        <v>82</v>
      </c>
      <c r="B78" s="8">
        <v>3.2000000000000001E-2</v>
      </c>
      <c r="C78" s="3">
        <v>0</v>
      </c>
      <c r="D78" s="8">
        <v>3.2000000000000001E-2</v>
      </c>
      <c r="E78" s="12">
        <v>6.9449999999999998E-2</v>
      </c>
      <c r="F78" s="13">
        <f>1-Table1[[#This Row],[one-year conditional mortality AT ISSUE]]</f>
        <v>0.93054999999999999</v>
      </c>
      <c r="G78" s="13">
        <f>PRODUCT(F$17:F78)</f>
        <v>0.48842629252667874</v>
      </c>
      <c r="H78" s="13">
        <f>Table1[[#This Row],[one-year conditional survival AT ISSUE]]*(1-Table1[[#This Row],[Lapse rate]])</f>
        <v>0.90077239999999992</v>
      </c>
      <c r="I78" s="13">
        <f>PRODUCT(H$17:H78)</f>
        <v>4.4145850320208173E-2</v>
      </c>
      <c r="J78" s="13">
        <f>G77*Table1[[#This Row],[one-year conditional mortality AT ISSUE]]</f>
        <v>3.6452856929748902E-2</v>
      </c>
      <c r="K78" s="10">
        <f>I77*Table1[[#This Row],[one-year conditional mortality AT ISSUE]]</f>
        <v>3.4036670137078551E-3</v>
      </c>
      <c r="L78" s="3">
        <f t="shared" si="2"/>
        <v>1.9910109748700498E-3</v>
      </c>
      <c r="M78" s="44">
        <f>Table1[[#This Row],[Death benefit pay probability]]/Table1[[#This Row],[unconditional persistency AT ISSUE]]</f>
        <v>7.7100497306533816E-2</v>
      </c>
      <c r="N78" s="44">
        <f>Table1[[#This Row],[one-year conditional mortality AT ISSUE]]/Table1[[#This Row],[one-year conditional persistency AT ISSUE]]</f>
        <v>7.7100497306533816E-2</v>
      </c>
      <c r="O78" s="4">
        <f>(1+$B$14)^(Table1[[#This Row],[age since issue]]-$A$17)</f>
        <v>8.1538240822848351</v>
      </c>
      <c r="P78" s="5">
        <f>(Table1[[#This Row],[level premium unmarked-up]]*Table1[[#This Row],[unconditional persistency AT ISSUE]]-Table1[[#This Row],[Death benefit pay probability]])</f>
        <v>-3.3157721412253502E-3</v>
      </c>
      <c r="Q78" s="4">
        <f>Table1[[#This Row],[Issuer profit with unmarked-up level premium]]/Table1[[#This Row],[Issuer discounter at issue]]</f>
        <v>-4.0665240110211167E-4</v>
      </c>
      <c r="R78" s="4">
        <f>(Table1[[#This Row],[variable premium unmarked up]]*Table1[[#This Row],[unconditional persistency AT ISSUE]]-Table1[[#This Row],[Death benefit pay probability]])</f>
        <v>0</v>
      </c>
      <c r="S78" s="6">
        <f>Table1[[#This Row],[level premium unmarked-up]]*(1+$B$15)</f>
        <v>1.9910109748700498E-3</v>
      </c>
      <c r="T78" s="6">
        <f>MIN(Table1[[#This Row],[variable premium unmarked up]]*(1+$B$15),1)</f>
        <v>7.7100497306533816E-2</v>
      </c>
      <c r="U78" s="6">
        <f>Table1[[#This Row],[level premium marked up]]-Table1[[#This Row],[variable premium marked up]]</f>
        <v>-7.5109486331663769E-2</v>
      </c>
      <c r="V78" s="6">
        <f>Table1[[#This Row],[additional cash]]+V77*(1+$D$2)</f>
        <v>-0.63431242841159952</v>
      </c>
      <c r="W78" s="12">
        <v>4.3360000000000003E-2</v>
      </c>
      <c r="X78" s="13">
        <f>1-Table1[[#This Row],[one-year conditional mortality NOW]]</f>
        <v>0.95664000000000005</v>
      </c>
      <c r="Y78" s="49">
        <f>PRODUCT(X$17:X78)</f>
        <v>0.66120073828845038</v>
      </c>
      <c r="Z78" s="13">
        <f>Table1[[#This Row],[one-year conditional survival NOW]]*(1-Table1[[#This Row],[Lapse rate]])</f>
        <v>0.92602751999999999</v>
      </c>
      <c r="AA78" s="13">
        <f>PRODUCT(Z$17:Z78)</f>
        <v>8.7389869968102635E-2</v>
      </c>
      <c r="AB78" s="50">
        <f>Y77*Table1[[#This Row],[one-year conditional mortality NOW]]</f>
        <v>2.9969125284524178E-2</v>
      </c>
      <c r="AC78" s="14">
        <v>1.9699999999999999E-2</v>
      </c>
      <c r="AD78" s="28">
        <f>(1+Table1[[#This Row],[Yield curve now]])^(Table1[[#This Row],[age since issue]]-$A$23)</f>
        <v>2.9240383322971875</v>
      </c>
      <c r="AE78" s="46">
        <f t="shared" si="1"/>
        <v>0.79687404216745295</v>
      </c>
      <c r="AF78" s="42">
        <f>1-Table1[[#This Row],[cumulative debt until t]]</f>
        <v>0.20312595783254705</v>
      </c>
      <c r="AG78" s="46">
        <f>Table1[[#This Row],[cumulative debt until t]]*Table1[[#This Row],[Unconditional mortality NOW]]/Table1[[#This Row],[discouter with yield curve]]</f>
        <v>8.1673409482767231E-3</v>
      </c>
      <c r="AH78" s="48">
        <f>Table1[[#This Row],[Unconditional mortality NOW]]/Table1[[#This Row],[discouter with yield curve]]</f>
        <v>1.0249224489810223E-2</v>
      </c>
      <c r="AI78" s="29">
        <f>Table1[[#This Row],[user profit (death benefit - debt)]]*Table1[[#This Row],[Unconditional mortality NOW]]/Table1[[#This Row],[discouter with yield curve]]</f>
        <v>2.0818835415335E-3</v>
      </c>
      <c r="AJ78" s="29">
        <f>(1+$D$4)^(Table1[[#This Row],[age since issue]]-$A$23)</f>
        <v>2179.6221839177433</v>
      </c>
      <c r="AK78" s="57">
        <f>Table1[[#This Row],[level premium marked up]]*Table1[[#This Row],[unconditional survival NOW]]</f>
        <v>1.3164579265244843E-3</v>
      </c>
      <c r="AL78" s="62">
        <f>Table1[[#This Row],[cumulative debt until t]]*Table1[[#This Row],[Unconditional mortality NOW]]</f>
        <v>2.3881618005701599E-2</v>
      </c>
      <c r="AM78" s="47">
        <f>Table1[[#This Row],[probablistic premium stream]]/Table1[[#This Row],[lender discounter]]</f>
        <v>6.0398445943426227E-7</v>
      </c>
      <c r="AN78" s="58">
        <f>Table1[[#This Row],[probablistic repay from borrower]]/Table1[[#This Row],[lender discounter]]</f>
        <v>1.0956769563969012E-5</v>
      </c>
      <c r="AO78" s="47">
        <f>(Table1[[#This Row],[probablistic repay from borrower]]-Table1[[#This Row],[probablistic premium stream]])/Table1[[#This Row],[lender discounter]]</f>
        <v>1.0352785104534749E-5</v>
      </c>
      <c r="AP78" s="46">
        <f>AP77*(1+$D$4)+ Table1[[#This Row],[level premium marked up]]</f>
        <v>33.257389544421045</v>
      </c>
      <c r="AQ78" s="58">
        <f>AP78*Table1[[#This Row],[Unconditional mortality NOW]]</f>
        <v>0.99669487389297873</v>
      </c>
      <c r="AR78" s="60">
        <f>Table1[[#This Row],[cumulative debt until t]]*Table1[[#This Row],[Unconditional mortality NOW]]</f>
        <v>2.3881618005701599E-2</v>
      </c>
      <c r="AS78" s="58">
        <f>Table1[[#This Row],[lender to pay cumulative probablistic undiscounted]]/Table1[[#This Row],[lender discounter]]</f>
        <v>4.572787344738243E-4</v>
      </c>
    </row>
    <row r="79" spans="1:45" s="3" customFormat="1">
      <c r="A79" s="3">
        <v>83</v>
      </c>
      <c r="B79" s="8">
        <v>3.2000000000000001E-2</v>
      </c>
      <c r="C79" s="3">
        <v>0</v>
      </c>
      <c r="D79" s="8">
        <v>3.2000000000000001E-2</v>
      </c>
      <c r="E79" s="12">
        <v>7.7119999999999994E-2</v>
      </c>
      <c r="F79" s="13">
        <f>1-Table1[[#This Row],[one-year conditional mortality AT ISSUE]]</f>
        <v>0.92288000000000003</v>
      </c>
      <c r="G79" s="13">
        <f>PRODUCT(F$17:F79)</f>
        <v>0.45075885684702127</v>
      </c>
      <c r="H79" s="13">
        <f>Table1[[#This Row],[one-year conditional survival AT ISSUE]]*(1-Table1[[#This Row],[Lapse rate]])</f>
        <v>0.89334784</v>
      </c>
      <c r="I79" s="13">
        <f>PRODUCT(H$17:H79)</f>
        <v>3.9437600028521279E-2</v>
      </c>
      <c r="J79" s="13">
        <f>G78*Table1[[#This Row],[one-year conditional mortality AT ISSUE]]</f>
        <v>3.7667435679657461E-2</v>
      </c>
      <c r="K79" s="10">
        <f>I78*Table1[[#This Row],[one-year conditional mortality AT ISSUE]]</f>
        <v>3.4045279766944541E-3</v>
      </c>
      <c r="L79" s="3">
        <f t="shared" si="2"/>
        <v>1.9910109748700498E-3</v>
      </c>
      <c r="M79" s="44">
        <f>Table1[[#This Row],[Death benefit pay probability]]/Table1[[#This Row],[unconditional persistency AT ISSUE]]</f>
        <v>8.6326956362260857E-2</v>
      </c>
      <c r="N79" s="44">
        <f>Table1[[#This Row],[one-year conditional mortality AT ISSUE]]/Table1[[#This Row],[one-year conditional persistency AT ISSUE]]</f>
        <v>8.6326956362260857E-2</v>
      </c>
      <c r="O79" s="4">
        <f>(1+$B$14)^(Table1[[#This Row],[age since issue]]-$A$17)</f>
        <v>8.4392079251648049</v>
      </c>
      <c r="P79" s="5">
        <f>(Table1[[#This Row],[level premium unmarked-up]]*Table1[[#This Row],[unconditional persistency AT ISSUE]]-Table1[[#This Row],[Death benefit pay probability]])</f>
        <v>-3.326007282215133E-3</v>
      </c>
      <c r="Q79" s="4">
        <f>Table1[[#This Row],[Issuer profit with unmarked-up level premium]]/Table1[[#This Row],[Issuer discounter at issue]]</f>
        <v>-3.9411367887942883E-4</v>
      </c>
      <c r="R79" s="4">
        <f>(Table1[[#This Row],[variable premium unmarked up]]*Table1[[#This Row],[unconditional persistency AT ISSUE]]-Table1[[#This Row],[Death benefit pay probability]])</f>
        <v>0</v>
      </c>
      <c r="S79" s="6">
        <f>Table1[[#This Row],[level premium unmarked-up]]*(1+$B$15)</f>
        <v>1.9910109748700498E-3</v>
      </c>
      <c r="T79" s="6">
        <f>MIN(Table1[[#This Row],[variable premium unmarked up]]*(1+$B$15),1)</f>
        <v>8.6326956362260857E-2</v>
      </c>
      <c r="U79" s="6">
        <f>Table1[[#This Row],[level premium marked up]]-Table1[[#This Row],[variable premium marked up]]</f>
        <v>-8.4335945387390809E-2</v>
      </c>
      <c r="V79" s="6">
        <f>Table1[[#This Row],[additional cash]]+V78*(1+$D$2)</f>
        <v>-0.71928268622740177</v>
      </c>
      <c r="W79" s="12">
        <v>4.9070000000000003E-2</v>
      </c>
      <c r="X79" s="13">
        <f>1-Table1[[#This Row],[one-year conditional mortality NOW]]</f>
        <v>0.95093000000000005</v>
      </c>
      <c r="Y79" s="49">
        <f>PRODUCT(X$17:X79)</f>
        <v>0.62875561806063618</v>
      </c>
      <c r="Z79" s="13">
        <f>Table1[[#This Row],[one-year conditional survival NOW]]*(1-Table1[[#This Row],[Lapse rate]])</f>
        <v>0.92050023999999997</v>
      </c>
      <c r="AA79" s="13">
        <f>PRODUCT(Z$17:Z79)</f>
        <v>8.0442396279207268E-2</v>
      </c>
      <c r="AB79" s="50">
        <f>Y78*Table1[[#This Row],[one-year conditional mortality NOW]]</f>
        <v>3.2445120227814261E-2</v>
      </c>
      <c r="AC79" s="14">
        <v>1.9699999999999999E-2</v>
      </c>
      <c r="AD79" s="28">
        <f>(1+Table1[[#This Row],[Yield curve now]])^(Table1[[#This Row],[age since issue]]-$A$23)</f>
        <v>2.9816418874434425</v>
      </c>
      <c r="AE79" s="46">
        <f t="shared" si="1"/>
        <v>0.84589993608254799</v>
      </c>
      <c r="AF79" s="42">
        <f>1-Table1[[#This Row],[cumulative debt until t]]</f>
        <v>0.15410006391745201</v>
      </c>
      <c r="AG79" s="46">
        <f>Table1[[#This Row],[cumulative debt until t]]*Table1[[#This Row],[Unconditional mortality NOW]]/Table1[[#This Row],[discouter with yield curve]]</f>
        <v>9.2047691047267878E-3</v>
      </c>
      <c r="AH79" s="48">
        <f>Table1[[#This Row],[Unconditional mortality NOW]]/Table1[[#This Row],[discouter with yield curve]]</f>
        <v>1.0881628798029052E-2</v>
      </c>
      <c r="AI79" s="29">
        <f>Table1[[#This Row],[user profit (death benefit - debt)]]*Table1[[#This Row],[Unconditional mortality NOW]]/Table1[[#This Row],[discouter with yield curve]]</f>
        <v>1.6768596933022636E-3</v>
      </c>
      <c r="AJ79" s="29">
        <f>(1+$D$4)^(Table1[[#This Row],[age since issue]]-$A$23)</f>
        <v>2506.5655115054046</v>
      </c>
      <c r="AK79" s="57">
        <f>Table1[[#This Row],[level premium marked up]]*Table1[[#This Row],[unconditional survival NOW]]</f>
        <v>1.2518593360699279E-3</v>
      </c>
      <c r="AL79" s="62">
        <f>Table1[[#This Row],[cumulative debt until t]]*Table1[[#This Row],[Unconditional mortality NOW]]</f>
        <v>2.7445325126898668E-2</v>
      </c>
      <c r="AM79" s="47">
        <f>Table1[[#This Row],[probablistic premium stream]]/Table1[[#This Row],[lender discounter]]</f>
        <v>4.9943212348680264E-7</v>
      </c>
      <c r="AN79" s="58">
        <f>Table1[[#This Row],[probablistic repay from borrower]]/Table1[[#This Row],[lender discounter]]</f>
        <v>1.0949374752393935E-5</v>
      </c>
      <c r="AO79" s="47">
        <f>(Table1[[#This Row],[probablistic repay from borrower]]-Table1[[#This Row],[probablistic premium stream]])/Table1[[#This Row],[lender discounter]]</f>
        <v>1.0449942628907133E-5</v>
      </c>
      <c r="AP79" s="46">
        <f>AP78*(1+$D$4)+ Table1[[#This Row],[level premium marked up]]</f>
        <v>38.247988987059067</v>
      </c>
      <c r="AQ79" s="58">
        <f>AP79*Table1[[#This Row],[Unconditional mortality NOW]]</f>
        <v>1.2409606011572472</v>
      </c>
      <c r="AR79" s="60">
        <f>Table1[[#This Row],[cumulative debt until t]]*Table1[[#This Row],[Unconditional mortality NOW]]</f>
        <v>2.7445325126898668E-2</v>
      </c>
      <c r="AS79" s="58">
        <f>Table1[[#This Row],[lender to pay cumulative probablistic undiscounted]]/Table1[[#This Row],[lender discounter]]</f>
        <v>4.9508404845638573E-4</v>
      </c>
    </row>
    <row r="80" spans="1:45" s="3" customFormat="1">
      <c r="A80" s="3">
        <v>84</v>
      </c>
      <c r="B80" s="8">
        <v>3.2000000000000001E-2</v>
      </c>
      <c r="C80" s="3">
        <v>0</v>
      </c>
      <c r="D80" s="8">
        <v>3.2000000000000001E-2</v>
      </c>
      <c r="E80" s="12">
        <v>8.5360000000000005E-2</v>
      </c>
      <c r="F80" s="13">
        <f>1-Table1[[#This Row],[one-year conditional mortality AT ISSUE]]</f>
        <v>0.91464000000000001</v>
      </c>
      <c r="G80" s="13">
        <f>PRODUCT(F$17:F80)</f>
        <v>0.41228208082655954</v>
      </c>
      <c r="H80" s="13">
        <f>Table1[[#This Row],[one-year conditional survival AT ISSUE]]*(1-Table1[[#This Row],[Lapse rate]])</f>
        <v>0.88537151999999997</v>
      </c>
      <c r="I80" s="13">
        <f>PRODUCT(H$17:H80)</f>
        <v>3.4916927882403928E-2</v>
      </c>
      <c r="J80" s="13">
        <f>G79*Table1[[#This Row],[one-year conditional mortality AT ISSUE]]</f>
        <v>3.8476776020461741E-2</v>
      </c>
      <c r="K80" s="10">
        <f>I79*Table1[[#This Row],[one-year conditional mortality AT ISSUE]]</f>
        <v>3.3663935384345765E-3</v>
      </c>
      <c r="L80" s="3">
        <f t="shared" si="2"/>
        <v>1.9910109748700498E-3</v>
      </c>
      <c r="M80" s="44">
        <f>Table1[[#This Row],[Death benefit pay probability]]/Table1[[#This Row],[unconditional persistency AT ISSUE]]</f>
        <v>9.6411504178494478E-2</v>
      </c>
      <c r="N80" s="44">
        <f>Table1[[#This Row],[one-year conditional mortality AT ISSUE]]/Table1[[#This Row],[one-year conditional persistency AT ISSUE]]</f>
        <v>9.6411504178494478E-2</v>
      </c>
      <c r="O80" s="4">
        <f>(1+$B$14)^(Table1[[#This Row],[age since issue]]-$A$17)</f>
        <v>8.7345802025455725</v>
      </c>
      <c r="P80" s="5">
        <f>(Table1[[#This Row],[level premium unmarked-up]]*Table1[[#This Row],[unconditional persistency AT ISSUE]]-Table1[[#This Row],[Death benefit pay probability]])</f>
        <v>-3.2968735518119643E-3</v>
      </c>
      <c r="Q80" s="4">
        <f>Table1[[#This Row],[Issuer profit with unmarked-up level premium]]/Table1[[#This Row],[Issuer discounter at issue]]</f>
        <v>-3.774507160459911E-4</v>
      </c>
      <c r="R80" s="4">
        <f>(Table1[[#This Row],[variable premium unmarked up]]*Table1[[#This Row],[unconditional persistency AT ISSUE]]-Table1[[#This Row],[Death benefit pay probability]])</f>
        <v>0</v>
      </c>
      <c r="S80" s="6">
        <f>Table1[[#This Row],[level premium unmarked-up]]*(1+$B$15)</f>
        <v>1.9910109748700498E-3</v>
      </c>
      <c r="T80" s="6">
        <f>MIN(Table1[[#This Row],[variable premium unmarked up]]*(1+$B$15),1)</f>
        <v>9.6411504178494478E-2</v>
      </c>
      <c r="U80" s="6">
        <f>Table1[[#This Row],[level premium marked up]]-Table1[[#This Row],[variable premium marked up]]</f>
        <v>-9.4420493203624431E-2</v>
      </c>
      <c r="V80" s="6">
        <f>Table1[[#This Row],[additional cash]]+V79*(1+$D$2)</f>
        <v>-0.81442246211725355</v>
      </c>
      <c r="W80" s="12">
        <v>5.5629999999999999E-2</v>
      </c>
      <c r="X80" s="13">
        <f>1-Table1[[#This Row],[one-year conditional mortality NOW]]</f>
        <v>0.94437000000000004</v>
      </c>
      <c r="Y80" s="49">
        <f>PRODUCT(X$17:X80)</f>
        <v>0.59377794302792297</v>
      </c>
      <c r="Z80" s="13">
        <f>Table1[[#This Row],[one-year conditional survival NOW]]*(1-Table1[[#This Row],[Lapse rate]])</f>
        <v>0.91415016000000004</v>
      </c>
      <c r="AA80" s="13">
        <f>PRODUCT(Z$17:Z80)</f>
        <v>7.3536429429420735E-2</v>
      </c>
      <c r="AB80" s="50">
        <f>Y79*Table1[[#This Row],[one-year conditional mortality NOW]]</f>
        <v>3.4977675032713193E-2</v>
      </c>
      <c r="AC80" s="14">
        <v>1.9699999999999999E-2</v>
      </c>
      <c r="AD80" s="28">
        <f>(1+Table1[[#This Row],[Yield curve now]])^(Table1[[#This Row],[age since issue]]-$A$23)</f>
        <v>3.0403802326260783</v>
      </c>
      <c r="AE80" s="46">
        <f t="shared" si="1"/>
        <v>0.89781233401013683</v>
      </c>
      <c r="AF80" s="42">
        <f>1-Table1[[#This Row],[cumulative debt until t]]</f>
        <v>0.10218766598986317</v>
      </c>
      <c r="AG80" s="46">
        <f>Table1[[#This Row],[cumulative debt until t]]*Table1[[#This Row],[Unconditional mortality NOW]]/Table1[[#This Row],[discouter with yield curve]]</f>
        <v>1.0328769975012028E-2</v>
      </c>
      <c r="AH80" s="48">
        <f>Table1[[#This Row],[Unconditional mortality NOW]]/Table1[[#This Row],[discouter with yield curve]]</f>
        <v>1.1504375228259461E-2</v>
      </c>
      <c r="AI80" s="29">
        <f>Table1[[#This Row],[user profit (death benefit - debt)]]*Table1[[#This Row],[Unconditional mortality NOW]]/Table1[[#This Row],[discouter with yield curve]]</f>
        <v>1.1756052532474338E-3</v>
      </c>
      <c r="AJ80" s="29">
        <f>(1+$D$4)^(Table1[[#This Row],[age since issue]]-$A$23)</f>
        <v>2882.5503382312149</v>
      </c>
      <c r="AK80" s="57">
        <f>Table1[[#This Row],[level premium marked up]]*Table1[[#This Row],[unconditional survival NOW]]</f>
        <v>1.1822184012043578E-3</v>
      </c>
      <c r="AL80" s="62">
        <f>Table1[[#This Row],[cumulative debt until t]]*Table1[[#This Row],[Unconditional mortality NOW]]</f>
        <v>3.140338805936832E-2</v>
      </c>
      <c r="AM80" s="47">
        <f>Table1[[#This Row],[probablistic premium stream]]/Table1[[#This Row],[lender discounter]]</f>
        <v>4.1012931691933207E-7</v>
      </c>
      <c r="AN80" s="58">
        <f>Table1[[#This Row],[probablistic repay from borrower]]/Table1[[#This Row],[lender discounter]]</f>
        <v>1.0894306906930897E-5</v>
      </c>
      <c r="AO80" s="47">
        <f>(Table1[[#This Row],[probablistic repay from borrower]]-Table1[[#This Row],[probablistic premium stream]])/Table1[[#This Row],[lender discounter]]</f>
        <v>1.0484177590011566E-5</v>
      </c>
      <c r="AP80" s="46">
        <f>AP79*(1+$D$4)+ Table1[[#This Row],[level premium marked up]]</f>
        <v>43.98717834609279</v>
      </c>
      <c r="AQ80" s="58">
        <f>AP80*Table1[[#This Row],[Unconditional mortality NOW]]</f>
        <v>1.5385692297956322</v>
      </c>
      <c r="AR80" s="60">
        <f>Table1[[#This Row],[cumulative debt until t]]*Table1[[#This Row],[Unconditional mortality NOW]]</f>
        <v>3.140338805936832E-2</v>
      </c>
      <c r="AS80" s="58">
        <f>Table1[[#This Row],[lender to pay cumulative probablistic undiscounted]]/Table1[[#This Row],[lender discounter]]</f>
        <v>5.3375277072862011E-4</v>
      </c>
    </row>
    <row r="81" spans="1:45" s="3" customFormat="1">
      <c r="A81" s="3">
        <v>85</v>
      </c>
      <c r="B81" s="8">
        <v>3.2000000000000001E-2</v>
      </c>
      <c r="C81" s="3">
        <v>0</v>
      </c>
      <c r="D81" s="8">
        <v>3.2000000000000001E-2</v>
      </c>
      <c r="E81" s="12">
        <v>9.4490000000000005E-2</v>
      </c>
      <c r="F81" s="13">
        <f>1-Table1[[#This Row],[one-year conditional mortality AT ISSUE]]</f>
        <v>0.90551000000000004</v>
      </c>
      <c r="G81" s="13">
        <f>PRODUCT(F$17:F81)</f>
        <v>0.37332554700925796</v>
      </c>
      <c r="H81" s="13">
        <f>Table1[[#This Row],[one-year conditional survival AT ISSUE]]*(1-Table1[[#This Row],[Lapse rate]])</f>
        <v>0.87653367999999998</v>
      </c>
      <c r="I81" s="13">
        <f>PRODUCT(H$17:H81)</f>
        <v>3.0605863291058123E-2</v>
      </c>
      <c r="J81" s="13">
        <f>G80*Table1[[#This Row],[one-year conditional mortality AT ISSUE]]</f>
        <v>3.895653381730161E-2</v>
      </c>
      <c r="K81" s="10">
        <f>I80*Table1[[#This Row],[one-year conditional mortality AT ISSUE]]</f>
        <v>3.2993005156083475E-3</v>
      </c>
      <c r="L81" s="3">
        <f t="shared" ref="L81:L112" si="3">$B$1</f>
        <v>1.9910109748700498E-3</v>
      </c>
      <c r="M81" s="44">
        <f>Table1[[#This Row],[Death benefit pay probability]]/Table1[[#This Row],[unconditional persistency AT ISSUE]]</f>
        <v>0.10779962271386995</v>
      </c>
      <c r="N81" s="44">
        <f>Table1[[#This Row],[one-year conditional mortality AT ISSUE]]/Table1[[#This Row],[one-year conditional persistency AT ISSUE]]</f>
        <v>0.10779962271386995</v>
      </c>
      <c r="O81" s="4">
        <f>(1+$B$14)^(Table1[[#This Row],[age since issue]]-$A$17)</f>
        <v>9.0402905096346657</v>
      </c>
      <c r="P81" s="5">
        <f>(Table1[[#This Row],[level premium unmarked-up]]*Table1[[#This Row],[unconditional persistency AT ISSUE]]-Table1[[#This Row],[Death benefit pay probability]])</f>
        <v>-3.2383639059004785E-3</v>
      </c>
      <c r="Q81" s="4">
        <f>Table1[[#This Row],[Issuer profit with unmarked-up level premium]]/Table1[[#This Row],[Issuer discounter at issue]]</f>
        <v>-3.5821458419385977E-4</v>
      </c>
      <c r="R81" s="4">
        <f>(Table1[[#This Row],[variable premium unmarked up]]*Table1[[#This Row],[unconditional persistency AT ISSUE]]-Table1[[#This Row],[Death benefit pay probability]])</f>
        <v>0</v>
      </c>
      <c r="S81" s="6">
        <f>Table1[[#This Row],[level premium unmarked-up]]*(1+$B$15)</f>
        <v>1.9910109748700498E-3</v>
      </c>
      <c r="T81" s="6">
        <f>MIN(Table1[[#This Row],[variable premium unmarked up]]*(1+$B$15),1)</f>
        <v>0.10779962271386995</v>
      </c>
      <c r="U81" s="6">
        <f>Table1[[#This Row],[level premium marked up]]-Table1[[#This Row],[variable premium marked up]]</f>
        <v>-0.1058086117389999</v>
      </c>
      <c r="V81" s="6">
        <f>Table1[[#This Row],[additional cash]]+V80*(1+$D$2)</f>
        <v>-0.92104549631837063</v>
      </c>
      <c r="W81" s="12">
        <v>6.3219999999999998E-2</v>
      </c>
      <c r="X81" s="13">
        <f>1-Table1[[#This Row],[one-year conditional mortality NOW]]</f>
        <v>0.93677999999999995</v>
      </c>
      <c r="Y81" s="49">
        <f>PRODUCT(X$17:X81)</f>
        <v>0.55623930146969769</v>
      </c>
      <c r="Z81" s="13">
        <f>Table1[[#This Row],[one-year conditional survival NOW]]*(1-Table1[[#This Row],[Lapse rate]])</f>
        <v>0.90680303999999989</v>
      </c>
      <c r="AA81" s="13">
        <f>PRODUCT(Z$17:Z81)</f>
        <v>6.6683057757344177E-2</v>
      </c>
      <c r="AB81" s="50">
        <f>Y80*Table1[[#This Row],[one-year conditional mortality NOW]]</f>
        <v>3.753864155822529E-2</v>
      </c>
      <c r="AC81" s="14">
        <v>1.9699999999999999E-2</v>
      </c>
      <c r="AD81" s="28">
        <f>(1+Table1[[#This Row],[Yield curve now]])^(Table1[[#This Row],[age since issue]]-$A$23)</f>
        <v>3.1002757232088118</v>
      </c>
      <c r="AE81" s="46">
        <f t="shared" si="1"/>
        <v>0.95278118502710052</v>
      </c>
      <c r="AF81" s="42">
        <f>1-Table1[[#This Row],[cumulative debt until t]]</f>
        <v>4.7218814972899481E-2</v>
      </c>
      <c r="AG81" s="46">
        <f>Table1[[#This Row],[cumulative debt until t]]*Table1[[#This Row],[Unconditional mortality NOW]]/Table1[[#This Row],[discouter with yield curve]]</f>
        <v>1.1536429202217932E-2</v>
      </c>
      <c r="AH81" s="48">
        <f>Table1[[#This Row],[Unconditional mortality NOW]]/Table1[[#This Row],[discouter with yield curve]]</f>
        <v>1.2108162276409555E-2</v>
      </c>
      <c r="AI81" s="29">
        <f>Table1[[#This Row],[user profit (death benefit - debt)]]*Table1[[#This Row],[Unconditional mortality NOW]]/Table1[[#This Row],[discouter with yield curve]]</f>
        <v>5.7173307419162425E-4</v>
      </c>
      <c r="AJ81" s="29">
        <f>(1+$D$4)^(Table1[[#This Row],[age since issue]]-$A$23)</f>
        <v>3314.9328889658973</v>
      </c>
      <c r="AK81" s="57">
        <f>Table1[[#This Row],[level premium marked up]]*Table1[[#This Row],[unconditional survival NOW]]</f>
        <v>1.1074785538802182E-3</v>
      </c>
      <c r="AL81" s="62">
        <f>Table1[[#This Row],[cumulative debt until t]]*Table1[[#This Row],[Unconditional mortality NOW]]</f>
        <v>3.5766111388153457E-2</v>
      </c>
      <c r="AM81" s="47">
        <f>Table1[[#This Row],[probablistic premium stream]]/Table1[[#This Row],[lender discounter]]</f>
        <v>3.340877752206016E-7</v>
      </c>
      <c r="AN81" s="58">
        <f>Table1[[#This Row],[probablistic repay from borrower]]/Table1[[#This Row],[lender discounter]]</f>
        <v>1.078939230027996E-5</v>
      </c>
      <c r="AO81" s="47">
        <f>(Table1[[#This Row],[probablistic repay from borrower]]-Table1[[#This Row],[probablistic premium stream]])/Table1[[#This Row],[lender discounter]]</f>
        <v>1.0455304525059358E-5</v>
      </c>
      <c r="AP81" s="46">
        <f>AP80*(1+$D$4)+ Table1[[#This Row],[level premium marked up]]</f>
        <v>50.587246108981574</v>
      </c>
      <c r="AQ81" s="58">
        <f>AP81*Table1[[#This Row],[Unconditional mortality NOW]]</f>
        <v>1.8989764991027864</v>
      </c>
      <c r="AR81" s="60">
        <f>Table1[[#This Row],[cumulative debt until t]]*Table1[[#This Row],[Unconditional mortality NOW]]</f>
        <v>3.5766111388153457E-2</v>
      </c>
      <c r="AS81" s="58">
        <f>Table1[[#This Row],[lender to pay cumulative probablistic undiscounted]]/Table1[[#This Row],[lender discounter]]</f>
        <v>5.7285518672903733E-4</v>
      </c>
    </row>
    <row r="82" spans="1:45" s="3" customFormat="1">
      <c r="A82" s="3">
        <v>86</v>
      </c>
      <c r="B82" s="8">
        <v>3.2000000000000001E-2</v>
      </c>
      <c r="C82" s="3">
        <v>0</v>
      </c>
      <c r="D82" s="8">
        <v>3.2000000000000001E-2</v>
      </c>
      <c r="E82" s="12">
        <v>0.10468</v>
      </c>
      <c r="F82" s="13">
        <f>1-Table1[[#This Row],[one-year conditional mortality AT ISSUE]]</f>
        <v>0.89532</v>
      </c>
      <c r="G82" s="13">
        <f>PRODUCT(F$17:F82)</f>
        <v>0.33424582874832887</v>
      </c>
      <c r="H82" s="13">
        <f>Table1[[#This Row],[one-year conditional survival AT ISSUE]]*(1-Table1[[#This Row],[Lapse rate]])</f>
        <v>0.86666975999999996</v>
      </c>
      <c r="I82" s="13">
        <f>PRODUCT(H$17:H82)</f>
        <v>2.6525176193054154E-2</v>
      </c>
      <c r="J82" s="13">
        <f>G81*Table1[[#This Row],[one-year conditional mortality AT ISSUE]]</f>
        <v>3.9079718260929125E-2</v>
      </c>
      <c r="K82" s="10">
        <f>I81*Table1[[#This Row],[one-year conditional mortality AT ISSUE]]</f>
        <v>3.203821769307964E-3</v>
      </c>
      <c r="L82" s="3">
        <f t="shared" si="3"/>
        <v>1.9910109748700498E-3</v>
      </c>
      <c r="M82" s="44">
        <f>Table1[[#This Row],[Death benefit pay probability]]/Table1[[#This Row],[unconditional persistency AT ISSUE]]</f>
        <v>0.12078418427798841</v>
      </c>
      <c r="N82" s="44">
        <f>Table1[[#This Row],[one-year conditional mortality AT ISSUE]]/Table1[[#This Row],[one-year conditional persistency AT ISSUE]]</f>
        <v>0.12078418427798843</v>
      </c>
      <c r="O82" s="4">
        <f>(1+$B$14)^(Table1[[#This Row],[age since issue]]-$A$17)</f>
        <v>9.3567006774718777</v>
      </c>
      <c r="P82" s="5">
        <f>(Table1[[#This Row],[level premium unmarked-up]]*Table1[[#This Row],[unconditional persistency AT ISSUE]]-Table1[[#This Row],[Death benefit pay probability]])</f>
        <v>-3.1510098523972315E-3</v>
      </c>
      <c r="Q82" s="4">
        <f>Table1[[#This Row],[Issuer profit with unmarked-up level premium]]/Table1[[#This Row],[Issuer discounter at issue]]</f>
        <v>-3.3676505864764018E-4</v>
      </c>
      <c r="R82" s="4">
        <f>(Table1[[#This Row],[variable premium unmarked up]]*Table1[[#This Row],[unconditional persistency AT ISSUE]]-Table1[[#This Row],[Death benefit pay probability]])</f>
        <v>0</v>
      </c>
      <c r="S82" s="6">
        <f>Table1[[#This Row],[level premium unmarked-up]]*(1+$B$15)</f>
        <v>1.9910109748700498E-3</v>
      </c>
      <c r="T82" s="6">
        <f>MIN(Table1[[#This Row],[variable premium unmarked up]]*(1+$B$15),1)</f>
        <v>0.12078418427798841</v>
      </c>
      <c r="U82" s="6">
        <f>Table1[[#This Row],[level premium marked up]]-Table1[[#This Row],[variable premium marked up]]</f>
        <v>-0.11879317330311837</v>
      </c>
      <c r="V82" s="6">
        <f>Table1[[#This Row],[additional cash]]+V81*(1+$D$2)</f>
        <v>-1.0407597151178072</v>
      </c>
      <c r="W82" s="12">
        <v>7.2040000000000007E-2</v>
      </c>
      <c r="X82" s="13">
        <f>1-Table1[[#This Row],[one-year conditional mortality NOW]]</f>
        <v>0.92796000000000001</v>
      </c>
      <c r="Y82" s="49">
        <f>PRODUCT(X$17:X82)</f>
        <v>0.51616782219182067</v>
      </c>
      <c r="Z82" s="13">
        <f>Table1[[#This Row],[one-year conditional survival NOW]]*(1-Table1[[#This Row],[Lapse rate]])</f>
        <v>0.89826527999999994</v>
      </c>
      <c r="AA82" s="13">
        <f>PRODUCT(Z$17:Z82)</f>
        <v>5.9899075547656937E-2</v>
      </c>
      <c r="AB82" s="50">
        <f>Y81*Table1[[#This Row],[one-year conditional mortality NOW]]</f>
        <v>4.0071479277877027E-2</v>
      </c>
      <c r="AC82" s="14">
        <v>1.9699999999999999E-2</v>
      </c>
      <c r="AD82" s="28">
        <f>(1+Table1[[#This Row],[Yield curve now]])^(Table1[[#This Row],[age since issue]]-$A$23)</f>
        <v>3.161351154956026</v>
      </c>
      <c r="AE82" s="46">
        <f t="shared" si="1"/>
        <v>1.0109864443245011</v>
      </c>
      <c r="AF82" s="42">
        <f>1-Table1[[#This Row],[cumulative debt until t]]</f>
        <v>-1.0986444324501132E-2</v>
      </c>
      <c r="AG82" s="46">
        <f>Table1[[#This Row],[cumulative debt until t]]*Table1[[#This Row],[Unconditional mortality NOW]]/Table1[[#This Row],[discouter with yield curve]]</f>
        <v>1.2814685989708516E-2</v>
      </c>
      <c r="AH82" s="48">
        <f>Table1[[#This Row],[Unconditional mortality NOW]]/Table1[[#This Row],[discouter with yield curve]]</f>
        <v>1.2675428104548676E-2</v>
      </c>
      <c r="AI82" s="29">
        <f>Table1[[#This Row],[user profit (death benefit - debt)]]*Table1[[#This Row],[Unconditional mortality NOW]]/Table1[[#This Row],[discouter with yield curve]]</f>
        <v>-1.3925788515984093E-4</v>
      </c>
      <c r="AJ82" s="29">
        <f>(1+$D$4)^(Table1[[#This Row],[age since issue]]-$A$23)</f>
        <v>3812.1728223107812</v>
      </c>
      <c r="AK82" s="57">
        <f>Table1[[#This Row],[level premium marked up]]*Table1[[#This Row],[unconditional survival NOW]]</f>
        <v>1.0276957988586874E-3</v>
      </c>
      <c r="AL82" s="62">
        <f>Table1[[#This Row],[cumulative debt until t]]*Table1[[#This Row],[Unconditional mortality NOW]]</f>
        <v>4.0511722353963824E-2</v>
      </c>
      <c r="AM82" s="47">
        <f>Table1[[#This Row],[probablistic premium stream]]/Table1[[#This Row],[lender discounter]]</f>
        <v>2.695826886032257E-7</v>
      </c>
      <c r="AN82" s="58">
        <f>Table1[[#This Row],[probablistic repay from borrower]]/Table1[[#This Row],[lender discounter]]</f>
        <v>1.0626937508412144E-5</v>
      </c>
      <c r="AO82" s="47">
        <f>(Table1[[#This Row],[probablistic repay from borrower]]-Table1[[#This Row],[probablistic premium stream]])/Table1[[#This Row],[lender discounter]]</f>
        <v>1.0357354819808918E-5</v>
      </c>
      <c r="AP82" s="46">
        <f>AP81*(1+$D$4)+ Table1[[#This Row],[level premium marked up]]</f>
        <v>58.177324036303673</v>
      </c>
      <c r="AQ82" s="58">
        <f>AP82*Table1[[#This Row],[Unconditional mortality NOW]]</f>
        <v>2.3312514345630797</v>
      </c>
      <c r="AR82" s="60">
        <f>Table1[[#This Row],[cumulative debt until t]]*Table1[[#This Row],[Unconditional mortality NOW]]</f>
        <v>4.0511722353963824E-2</v>
      </c>
      <c r="AS82" s="58">
        <f>Table1[[#This Row],[lender to pay cumulative probablistic undiscounted]]/Table1[[#This Row],[lender discounter]]</f>
        <v>6.1152826569650946E-4</v>
      </c>
    </row>
    <row r="83" spans="1:45" s="3" customFormat="1">
      <c r="A83" s="3">
        <v>87</v>
      </c>
      <c r="B83" s="8">
        <v>3.2000000000000001E-2</v>
      </c>
      <c r="C83" s="3">
        <v>0</v>
      </c>
      <c r="D83" s="8">
        <v>3.2000000000000001E-2</v>
      </c>
      <c r="E83" s="12">
        <v>0.11599</v>
      </c>
      <c r="F83" s="13">
        <f>1-Table1[[#This Row],[one-year conditional mortality AT ISSUE]]</f>
        <v>0.88400999999999996</v>
      </c>
      <c r="G83" s="13">
        <f>PRODUCT(F$17:F83)</f>
        <v>0.2954766550718102</v>
      </c>
      <c r="H83" s="13">
        <f>Table1[[#This Row],[one-year conditional survival AT ISSUE]]*(1-Table1[[#This Row],[Lapse rate]])</f>
        <v>0.85572167999999993</v>
      </c>
      <c r="I83" s="13">
        <f>PRODUCT(H$17:H83)</f>
        <v>2.2698168334216302E-2</v>
      </c>
      <c r="J83" s="13">
        <f>G82*Table1[[#This Row],[one-year conditional mortality AT ISSUE]]</f>
        <v>3.8769173676518665E-2</v>
      </c>
      <c r="K83" s="10">
        <f>I82*Table1[[#This Row],[one-year conditional mortality AT ISSUE]]</f>
        <v>3.0766551866323513E-3</v>
      </c>
      <c r="L83" s="3">
        <f t="shared" si="3"/>
        <v>1.9910109748700498E-3</v>
      </c>
      <c r="M83" s="44">
        <f>Table1[[#This Row],[Death benefit pay probability]]/Table1[[#This Row],[unconditional persistency AT ISSUE]]</f>
        <v>0.1355464080330418</v>
      </c>
      <c r="N83" s="44">
        <f>Table1[[#This Row],[one-year conditional mortality AT ISSUE]]/Table1[[#This Row],[one-year conditional persistency AT ISSUE]]</f>
        <v>0.13554640803304177</v>
      </c>
      <c r="O83" s="4">
        <f>(1+$B$14)^(Table1[[#This Row],[age since issue]]-$A$17)</f>
        <v>9.6841852011833929</v>
      </c>
      <c r="P83" s="5">
        <f>(Table1[[#This Row],[level premium unmarked-up]]*Table1[[#This Row],[unconditional persistency AT ISSUE]]-Table1[[#This Row],[Death benefit pay probability]])</f>
        <v>-3.0314628843694786E-3</v>
      </c>
      <c r="Q83" s="4">
        <f>Table1[[#This Row],[Issuer profit with unmarked-up level premium]]/Table1[[#This Row],[Issuer discounter at issue]]</f>
        <v>-3.1303231210396911E-4</v>
      </c>
      <c r="R83" s="4">
        <f>(Table1[[#This Row],[variable premium unmarked up]]*Table1[[#This Row],[unconditional persistency AT ISSUE]]-Table1[[#This Row],[Death benefit pay probability]])</f>
        <v>4.3368086899420177E-19</v>
      </c>
      <c r="S83" s="6">
        <f>Table1[[#This Row],[level premium unmarked-up]]*(1+$B$15)</f>
        <v>1.9910109748700498E-3</v>
      </c>
      <c r="T83" s="6">
        <f>MIN(Table1[[#This Row],[variable premium unmarked up]]*(1+$B$15),1)</f>
        <v>0.1355464080330418</v>
      </c>
      <c r="U83" s="6">
        <f>Table1[[#This Row],[level premium marked up]]-Table1[[#This Row],[variable premium marked up]]</f>
        <v>-0.13355539705817174</v>
      </c>
      <c r="V83" s="6">
        <f>Table1[[#This Row],[additional cash]]+V82*(1+$D$2)</f>
        <v>-1.1753558718910966</v>
      </c>
      <c r="W83" s="12">
        <v>8.226E-2</v>
      </c>
      <c r="X83" s="13">
        <f>1-Table1[[#This Row],[one-year conditional mortality NOW]]</f>
        <v>0.91774</v>
      </c>
      <c r="Y83" s="49">
        <f>PRODUCT(X$17:X83)</f>
        <v>0.47370785713832148</v>
      </c>
      <c r="Z83" s="13">
        <f>Table1[[#This Row],[one-year conditional survival NOW]]*(1-Table1[[#This Row],[Lapse rate]])</f>
        <v>0.88837231999999999</v>
      </c>
      <c r="AA83" s="13">
        <f>PRODUCT(Z$17:Z83)</f>
        <v>5.3212680710127261E-2</v>
      </c>
      <c r="AB83" s="50">
        <f>Y82*Table1[[#This Row],[one-year conditional mortality NOW]]</f>
        <v>4.2459965053499166E-2</v>
      </c>
      <c r="AC83" s="14">
        <v>1.9699999999999999E-2</v>
      </c>
      <c r="AD83" s="28">
        <f>(1+Table1[[#This Row],[Yield curve now]])^(Table1[[#This Row],[age since issue]]-$A$23)</f>
        <v>3.22362977270866</v>
      </c>
      <c r="AE83" s="46">
        <f t="shared" si="1"/>
        <v>1.072618662338884</v>
      </c>
      <c r="AF83" s="42">
        <f>1-Table1[[#This Row],[cumulative debt until t]]</f>
        <v>-7.2618662338884032E-2</v>
      </c>
      <c r="AG83" s="46">
        <f>Table1[[#This Row],[cumulative debt until t]]*Table1[[#This Row],[Unconditional mortality NOW]]/Table1[[#This Row],[discouter with yield curve]]</f>
        <v>1.4127971922896146E-2</v>
      </c>
      <c r="AH83" s="48">
        <f>Table1[[#This Row],[Unconditional mortality NOW]]/Table1[[#This Row],[discouter with yield curve]]</f>
        <v>1.3171476890108913E-2</v>
      </c>
      <c r="AI83" s="29">
        <f>Table1[[#This Row],[user profit (death benefit - debt)]]*Table1[[#This Row],[Unconditional mortality NOW]]/Table1[[#This Row],[discouter with yield curve]]</f>
        <v>-9.5649503278723345E-4</v>
      </c>
      <c r="AJ83" s="29">
        <f>(1+$D$4)^(Table1[[#This Row],[age since issue]]-$A$23)</f>
        <v>4383.9987456573981</v>
      </c>
      <c r="AK83" s="57">
        <f>Table1[[#This Row],[level premium marked up]]*Table1[[#This Row],[unconditional survival NOW]]</f>
        <v>9.4315754244457171E-4</v>
      </c>
      <c r="AL83" s="62">
        <f>Table1[[#This Row],[cumulative debt until t]]*Table1[[#This Row],[Unconditional mortality NOW]]</f>
        <v>4.5543350918640035E-2</v>
      </c>
      <c r="AM83" s="47">
        <f>Table1[[#This Row],[probablistic premium stream]]/Table1[[#This Row],[lender discounter]]</f>
        <v>2.1513636229454291E-7</v>
      </c>
      <c r="AN83" s="58">
        <f>Table1[[#This Row],[probablistic repay from borrower]]/Table1[[#This Row],[lender discounter]]</f>
        <v>1.0388541046858951E-5</v>
      </c>
      <c r="AO83" s="47">
        <f>(Table1[[#This Row],[probablistic repay from borrower]]-Table1[[#This Row],[probablistic premium stream]])/Table1[[#This Row],[lender discounter]]</f>
        <v>1.0173404684564409E-5</v>
      </c>
      <c r="AP83" s="46">
        <f>AP82*(1+$D$4)+ Table1[[#This Row],[level premium marked up]]</f>
        <v>66.905913652724095</v>
      </c>
      <c r="AQ83" s="58">
        <f>AP83*Table1[[#This Row],[Unconditional mortality NOW]]</f>
        <v>2.840822755567098</v>
      </c>
      <c r="AR83" s="60">
        <f>Table1[[#This Row],[cumulative debt until t]]*Table1[[#This Row],[Unconditional mortality NOW]]</f>
        <v>4.5543350918640035E-2</v>
      </c>
      <c r="AS83" s="58">
        <f>Table1[[#This Row],[lender to pay cumulative probablistic undiscounted]]/Table1[[#This Row],[lender discounter]]</f>
        <v>6.4799807672871615E-4</v>
      </c>
    </row>
    <row r="84" spans="1:45" s="3" customFormat="1">
      <c r="A84" s="3">
        <v>88</v>
      </c>
      <c r="B84" s="8">
        <v>3.2000000000000001E-2</v>
      </c>
      <c r="C84" s="3">
        <v>0</v>
      </c>
      <c r="D84" s="8">
        <v>3.2000000000000001E-2</v>
      </c>
      <c r="E84" s="12">
        <v>0.12831999999999999</v>
      </c>
      <c r="F84" s="13">
        <f>1-Table1[[#This Row],[one-year conditional mortality AT ISSUE]]</f>
        <v>0.87168000000000001</v>
      </c>
      <c r="G84" s="13">
        <f>PRODUCT(F$17:F84)</f>
        <v>0.25756109069299554</v>
      </c>
      <c r="H84" s="13">
        <f>Table1[[#This Row],[one-year conditional survival AT ISSUE]]*(1-Table1[[#This Row],[Lapse rate]])</f>
        <v>0.84378624000000002</v>
      </c>
      <c r="I84" s="13">
        <f>PRODUCT(H$17:H84)</f>
        <v>1.9152402113615435E-2</v>
      </c>
      <c r="J84" s="13">
        <f>G83*Table1[[#This Row],[one-year conditional mortality AT ISSUE]]</f>
        <v>3.791556437881468E-2</v>
      </c>
      <c r="K84" s="10">
        <f>I83*Table1[[#This Row],[one-year conditional mortality AT ISSUE]]</f>
        <v>2.9126289606466356E-3</v>
      </c>
      <c r="L84" s="3">
        <f t="shared" si="3"/>
        <v>1.9910109748700498E-3</v>
      </c>
      <c r="M84" s="44">
        <f>Table1[[#This Row],[Death benefit pay probability]]/Table1[[#This Row],[unconditional persistency AT ISSUE]]</f>
        <v>0.15207643111127292</v>
      </c>
      <c r="N84" s="44">
        <f>Table1[[#This Row],[one-year conditional mortality AT ISSUE]]/Table1[[#This Row],[one-year conditional persistency AT ISSUE]]</f>
        <v>0.15207643111127289</v>
      </c>
      <c r="O84" s="4">
        <f>(1+$B$14)^(Table1[[#This Row],[age since issue]]-$A$17)</f>
        <v>10.023131683224811</v>
      </c>
      <c r="P84" s="5">
        <f>(Table1[[#This Row],[level premium unmarked-up]]*Table1[[#This Row],[unconditional persistency AT ISSUE]]-Table1[[#This Row],[Death benefit pay probability]])</f>
        <v>-2.8744963178433027E-3</v>
      </c>
      <c r="Q84" s="4">
        <f>Table1[[#This Row],[Issuer profit with unmarked-up level premium]]/Table1[[#This Row],[Issuer discounter at issue]]</f>
        <v>-2.867862469226256E-4</v>
      </c>
      <c r="R84" s="4">
        <f>(Table1[[#This Row],[variable premium unmarked up]]*Table1[[#This Row],[unconditional persistency AT ISSUE]]-Table1[[#This Row],[Death benefit pay probability]])</f>
        <v>0</v>
      </c>
      <c r="S84" s="6">
        <f>Table1[[#This Row],[level premium unmarked-up]]*(1+$B$15)</f>
        <v>1.9910109748700498E-3</v>
      </c>
      <c r="T84" s="6">
        <f>MIN(Table1[[#This Row],[variable premium unmarked up]]*(1+$B$15),1)</f>
        <v>0.15207643111127292</v>
      </c>
      <c r="U84" s="6">
        <f>Table1[[#This Row],[level premium marked up]]-Table1[[#This Row],[variable premium marked up]]</f>
        <v>-0.15008542013640286</v>
      </c>
      <c r="V84" s="6">
        <f>Table1[[#This Row],[additional cash]]+V83*(1+$D$2)</f>
        <v>-1.3266166478993904</v>
      </c>
      <c r="W84" s="12">
        <v>9.3990000000000004E-2</v>
      </c>
      <c r="X84" s="13">
        <f>1-Table1[[#This Row],[one-year conditional mortality NOW]]</f>
        <v>0.90600999999999998</v>
      </c>
      <c r="Y84" s="49">
        <f>PRODUCT(X$17:X84)</f>
        <v>0.42918405564589063</v>
      </c>
      <c r="Z84" s="13">
        <f>Table1[[#This Row],[one-year conditional survival NOW]]*(1-Table1[[#This Row],[Lapse rate]])</f>
        <v>0.87701767999999991</v>
      </c>
      <c r="AA84" s="13">
        <f>PRODUCT(Z$17:Z84)</f>
        <v>4.666846178297656E-2</v>
      </c>
      <c r="AB84" s="50">
        <f>Y83*Table1[[#This Row],[one-year conditional mortality NOW]]</f>
        <v>4.4523801492430834E-2</v>
      </c>
      <c r="AC84" s="14">
        <v>1.9699999999999999E-2</v>
      </c>
      <c r="AD84" s="28">
        <f>(1+Table1[[#This Row],[Yield curve now]])^(Table1[[#This Row],[age since issue]]-$A$23)</f>
        <v>3.2871352792310202</v>
      </c>
      <c r="AE84" s="46">
        <f t="shared" si="1"/>
        <v>1.1378796085699419</v>
      </c>
      <c r="AF84" s="42">
        <f>1-Table1[[#This Row],[cumulative debt until t]]</f>
        <v>-0.13787960856994186</v>
      </c>
      <c r="AG84" s="46">
        <f>Table1[[#This Row],[cumulative debt until t]]*Table1[[#This Row],[Unconditional mortality NOW]]/Table1[[#This Row],[discouter with yield curve]]</f>
        <v>1.5412424956877599E-2</v>
      </c>
      <c r="AH84" s="48">
        <f>Table1[[#This Row],[Unconditional mortality NOW]]/Table1[[#This Row],[discouter with yield curve]]</f>
        <v>1.3544864360692377E-2</v>
      </c>
      <c r="AI84" s="29">
        <f>Table1[[#This Row],[user profit (death benefit - debt)]]*Table1[[#This Row],[Unconditional mortality NOW]]/Table1[[#This Row],[discouter with yield curve]]</f>
        <v>-1.8675605961852206E-3</v>
      </c>
      <c r="AJ84" s="29">
        <f>(1+$D$4)^(Table1[[#This Row],[age since issue]]-$A$23)</f>
        <v>5041.5985575060076</v>
      </c>
      <c r="AK84" s="57">
        <f>Table1[[#This Row],[level premium marked up]]*Table1[[#This Row],[unconditional survival NOW]]</f>
        <v>8.5451016503020635E-4</v>
      </c>
      <c r="AL84" s="62">
        <f>Table1[[#This Row],[cumulative debt until t]]*Table1[[#This Row],[Unconditional mortality NOW]]</f>
        <v>5.066272581425299E-2</v>
      </c>
      <c r="AM84" s="47">
        <f>Table1[[#This Row],[probablistic premium stream]]/Table1[[#This Row],[lender discounter]]</f>
        <v>1.6949190921954679E-7</v>
      </c>
      <c r="AN84" s="58">
        <f>Table1[[#This Row],[probablistic repay from borrower]]/Table1[[#This Row],[lender discounter]]</f>
        <v>1.0048940873887225E-5</v>
      </c>
      <c r="AO84" s="47">
        <f>(Table1[[#This Row],[probablistic repay from borrower]]-Table1[[#This Row],[probablistic premium stream]])/Table1[[#This Row],[lender discounter]]</f>
        <v>9.8794489646676771E-6</v>
      </c>
      <c r="AP84" s="46">
        <f>AP83*(1+$D$4)+ Table1[[#This Row],[level premium marked up]]</f>
        <v>76.943791711607574</v>
      </c>
      <c r="AQ84" s="58">
        <f>AP84*Table1[[#This Row],[Unconditional mortality NOW]]</f>
        <v>3.4258301082425606</v>
      </c>
      <c r="AR84" s="60">
        <f>Table1[[#This Row],[cumulative debt until t]]*Table1[[#This Row],[Unconditional mortality NOW]]</f>
        <v>5.066272581425299E-2</v>
      </c>
      <c r="AS84" s="58">
        <f>Table1[[#This Row],[lender to pay cumulative probablistic undiscounted]]/Table1[[#This Row],[lender discounter]]</f>
        <v>6.7951267225394875E-4</v>
      </c>
    </row>
    <row r="85" spans="1:45" s="3" customFormat="1">
      <c r="A85" s="3">
        <v>89</v>
      </c>
      <c r="B85" s="8">
        <v>3.2000000000000001E-2</v>
      </c>
      <c r="C85" s="3">
        <v>0</v>
      </c>
      <c r="D85" s="8">
        <v>3.2000000000000001E-2</v>
      </c>
      <c r="E85" s="12">
        <v>0.14151</v>
      </c>
      <c r="F85" s="13">
        <f>1-Table1[[#This Row],[one-year conditional mortality AT ISSUE]]</f>
        <v>0.85848999999999998</v>
      </c>
      <c r="G85" s="13">
        <f>PRODUCT(F$17:F85)</f>
        <v>0.22111362074902974</v>
      </c>
      <c r="H85" s="13">
        <f>Table1[[#This Row],[one-year conditional survival AT ISSUE]]*(1-Table1[[#This Row],[Lapse rate]])</f>
        <v>0.83101831999999998</v>
      </c>
      <c r="I85" s="13">
        <f>PRODUCT(H$17:H85)</f>
        <v>1.5915997028421149E-2</v>
      </c>
      <c r="J85" s="13">
        <f>G84*Table1[[#This Row],[one-year conditional mortality AT ISSUE]]</f>
        <v>3.6447469943965798E-2</v>
      </c>
      <c r="K85" s="10">
        <f>I84*Table1[[#This Row],[one-year conditional mortality AT ISSUE]]</f>
        <v>2.7102564230977204E-3</v>
      </c>
      <c r="L85" s="3">
        <f t="shared" si="3"/>
        <v>1.9910109748700498E-3</v>
      </c>
      <c r="M85" s="44">
        <f>Table1[[#This Row],[Death benefit pay probability]]/Table1[[#This Row],[unconditional persistency AT ISSUE]]</f>
        <v>0.17028505460625706</v>
      </c>
      <c r="N85" s="44">
        <f>Table1[[#This Row],[one-year conditional mortality AT ISSUE]]/Table1[[#This Row],[one-year conditional persistency AT ISSUE]]</f>
        <v>0.17028505460625706</v>
      </c>
      <c r="O85" s="4">
        <f>(1+$B$14)^(Table1[[#This Row],[age since issue]]-$A$17)</f>
        <v>10.37394129213768</v>
      </c>
      <c r="P85" s="5">
        <f>(Table1[[#This Row],[level premium unmarked-up]]*Table1[[#This Row],[unconditional persistency AT ISSUE]]-Table1[[#This Row],[Death benefit pay probability]])</f>
        <v>-2.6785674983381348E-3</v>
      </c>
      <c r="Q85" s="4">
        <f>Table1[[#This Row],[Issuer profit with unmarked-up level premium]]/Table1[[#This Row],[Issuer discounter at issue]]</f>
        <v>-2.5820152851339131E-4</v>
      </c>
      <c r="R85" s="4">
        <f>(Table1[[#This Row],[variable premium unmarked up]]*Table1[[#This Row],[unconditional persistency AT ISSUE]]-Table1[[#This Row],[Death benefit pay probability]])</f>
        <v>0</v>
      </c>
      <c r="S85" s="6">
        <f>Table1[[#This Row],[level premium unmarked-up]]*(1+$B$15)</f>
        <v>1.9910109748700498E-3</v>
      </c>
      <c r="T85" s="6">
        <f>MIN(Table1[[#This Row],[variable premium unmarked up]]*(1+$B$15),1)</f>
        <v>0.17028505460625706</v>
      </c>
      <c r="U85" s="6">
        <f>Table1[[#This Row],[level premium marked up]]-Table1[[#This Row],[variable premium marked up]]</f>
        <v>-0.168294043631387</v>
      </c>
      <c r="V85" s="6">
        <f>Table1[[#This Row],[additional cash]]+V84*(1+$D$2)</f>
        <v>-1.4962373081786766</v>
      </c>
      <c r="W85" s="12">
        <v>0.10725</v>
      </c>
      <c r="X85" s="13">
        <f>1-Table1[[#This Row],[one-year conditional mortality NOW]]</f>
        <v>0.89275000000000004</v>
      </c>
      <c r="Y85" s="49">
        <f>PRODUCT(X$17:X85)</f>
        <v>0.38315406567786886</v>
      </c>
      <c r="Z85" s="13">
        <f>Table1[[#This Row],[one-year conditional survival NOW]]*(1-Table1[[#This Row],[Lapse rate]])</f>
        <v>0.86418200000000001</v>
      </c>
      <c r="AA85" s="13">
        <f>PRODUCT(Z$17:Z85)</f>
        <v>4.0330044640536251E-2</v>
      </c>
      <c r="AB85" s="50">
        <f>Y84*Table1[[#This Row],[one-year conditional mortality NOW]]</f>
        <v>4.6029989968021767E-2</v>
      </c>
      <c r="AC85" s="14">
        <v>1.9699999999999999E-2</v>
      </c>
      <c r="AD85" s="28">
        <f>(1+Table1[[#This Row],[Yield curve now]])^(Table1[[#This Row],[age since issue]]-$A$23)</f>
        <v>3.3518918442318717</v>
      </c>
      <c r="AE85" s="46">
        <f t="shared" si="1"/>
        <v>1.2069829321267722</v>
      </c>
      <c r="AF85" s="42">
        <f>1-Table1[[#This Row],[cumulative debt until t]]</f>
        <v>-0.20698293212677221</v>
      </c>
      <c r="AG85" s="46">
        <f>Table1[[#This Row],[cumulative debt until t]]*Table1[[#This Row],[Unconditional mortality NOW]]/Table1[[#This Row],[discouter with yield curve]]</f>
        <v>1.6574941805767157E-2</v>
      </c>
      <c r="AH85" s="48">
        <f>Table1[[#This Row],[Unconditional mortality NOW]]/Table1[[#This Row],[discouter with yield curve]]</f>
        <v>1.3732540340534203E-2</v>
      </c>
      <c r="AI85" s="29">
        <f>Table1[[#This Row],[user profit (death benefit - debt)]]*Table1[[#This Row],[Unconditional mortality NOW]]/Table1[[#This Row],[discouter with yield curve]]</f>
        <v>-2.8424014652329525E-3</v>
      </c>
      <c r="AJ85" s="29">
        <f>(1+$D$4)^(Table1[[#This Row],[age since issue]]-$A$23)</f>
        <v>5797.8383411319091</v>
      </c>
      <c r="AK85" s="57">
        <f>Table1[[#This Row],[level premium marked up]]*Table1[[#This Row],[unconditional survival NOW]]</f>
        <v>7.6286394983071681E-4</v>
      </c>
      <c r="AL85" s="62">
        <f>Table1[[#This Row],[cumulative debt until t]]*Table1[[#This Row],[Unconditional mortality NOW]]</f>
        <v>5.5557412257368821E-2</v>
      </c>
      <c r="AM85" s="47">
        <f>Table1[[#This Row],[probablistic premium stream]]/Table1[[#This Row],[lender discounter]]</f>
        <v>1.3157730604847862E-7</v>
      </c>
      <c r="AN85" s="58">
        <f>Table1[[#This Row],[probablistic repay from borrower]]/Table1[[#This Row],[lender discounter]]</f>
        <v>9.5824355541659295E-6</v>
      </c>
      <c r="AO85" s="47">
        <f>(Table1[[#This Row],[probablistic repay from borrower]]-Table1[[#This Row],[probablistic premium stream]])/Table1[[#This Row],[lender discounter]]</f>
        <v>9.450858248117451E-6</v>
      </c>
      <c r="AP85" s="46">
        <f>AP84*(1+$D$4)+ Table1[[#This Row],[level premium marked up]]</f>
        <v>88.487351479323578</v>
      </c>
      <c r="AQ85" s="58">
        <f>AP85*Table1[[#This Row],[Unconditional mortality NOW]]</f>
        <v>4.0730719008900804</v>
      </c>
      <c r="AR85" s="60">
        <f>Table1[[#This Row],[cumulative debt until t]]*Table1[[#This Row],[Unconditional mortality NOW]]</f>
        <v>5.5557412257368821E-2</v>
      </c>
      <c r="AS85" s="58">
        <f>Table1[[#This Row],[lender to pay cumulative probablistic undiscounted]]/Table1[[#This Row],[lender discounter]]</f>
        <v>7.0251560344383398E-4</v>
      </c>
    </row>
    <row r="86" spans="1:45" s="3" customFormat="1">
      <c r="A86" s="3">
        <v>90</v>
      </c>
      <c r="B86" s="8">
        <v>3.2000000000000001E-2</v>
      </c>
      <c r="C86" s="3">
        <v>0</v>
      </c>
      <c r="D86" s="8">
        <v>3.2000000000000001E-2</v>
      </c>
      <c r="E86" s="12">
        <v>0.15537999999999999</v>
      </c>
      <c r="F86" s="13">
        <f>1-Table1[[#This Row],[one-year conditional mortality AT ISSUE]]</f>
        <v>0.84462000000000004</v>
      </c>
      <c r="G86" s="13">
        <f>PRODUCT(F$17:F86)</f>
        <v>0.18675698635704552</v>
      </c>
      <c r="H86" s="13">
        <f>Table1[[#This Row],[one-year conditional survival AT ISSUE]]*(1-Table1[[#This Row],[Lapse rate]])</f>
        <v>0.81759216000000001</v>
      </c>
      <c r="I86" s="13">
        <f>PRODUCT(H$17:H86)</f>
        <v>1.3012794389020428E-2</v>
      </c>
      <c r="J86" s="13">
        <f>G85*Table1[[#This Row],[one-year conditional mortality AT ISSUE]]</f>
        <v>3.4356634391984241E-2</v>
      </c>
      <c r="K86" s="10">
        <f>I85*Table1[[#This Row],[one-year conditional mortality AT ISSUE]]</f>
        <v>2.4730276182760779E-3</v>
      </c>
      <c r="L86" s="3">
        <f t="shared" si="3"/>
        <v>1.9910109748700498E-3</v>
      </c>
      <c r="M86" s="44">
        <f>Table1[[#This Row],[Death benefit pay probability]]/Table1[[#This Row],[unconditional persistency AT ISSUE]]</f>
        <v>0.19004585366865553</v>
      </c>
      <c r="N86" s="44">
        <f>Table1[[#This Row],[one-year conditional mortality AT ISSUE]]/Table1[[#This Row],[one-year conditional persistency AT ISSUE]]</f>
        <v>0.19004585366865551</v>
      </c>
      <c r="O86" s="4">
        <f>(1+$B$14)^(Table1[[#This Row],[age since issue]]-$A$17)</f>
        <v>10.737029237362496</v>
      </c>
      <c r="P86" s="5">
        <f>(Table1[[#This Row],[level premium unmarked-up]]*Table1[[#This Row],[unconditional persistency AT ISSUE]]-Table1[[#This Row],[Death benefit pay probability]])</f>
        <v>-2.4471190018338107E-3</v>
      </c>
      <c r="Q86" s="4">
        <f>Table1[[#This Row],[Issuer profit with unmarked-up level premium]]/Table1[[#This Row],[Issuer discounter at issue]]</f>
        <v>-2.2791397394340474E-4</v>
      </c>
      <c r="R86" s="4">
        <f>(Table1[[#This Row],[variable premium unmarked up]]*Table1[[#This Row],[unconditional persistency AT ISSUE]]-Table1[[#This Row],[Death benefit pay probability]])</f>
        <v>0</v>
      </c>
      <c r="S86" s="6">
        <f>Table1[[#This Row],[level premium unmarked-up]]*(1+$B$15)</f>
        <v>1.9910109748700498E-3</v>
      </c>
      <c r="T86" s="6">
        <f>MIN(Table1[[#This Row],[variable premium unmarked up]]*(1+$B$15),1)</f>
        <v>0.19004585366865553</v>
      </c>
      <c r="U86" s="6">
        <f>Table1[[#This Row],[level premium marked up]]-Table1[[#This Row],[variable premium marked up]]</f>
        <v>-0.18805484269378547</v>
      </c>
      <c r="V86" s="6">
        <f>Table1[[#This Row],[additional cash]]+V85*(1+$D$2)</f>
        <v>-1.6857883881806406</v>
      </c>
      <c r="W86" s="12">
        <v>0.12161</v>
      </c>
      <c r="X86" s="13">
        <f>1-Table1[[#This Row],[one-year conditional mortality NOW]]</f>
        <v>0.87839</v>
      </c>
      <c r="Y86" s="49">
        <f>PRODUCT(X$17:X86)</f>
        <v>0.33655869975078323</v>
      </c>
      <c r="Z86" s="13">
        <f>Table1[[#This Row],[one-year conditional survival NOW]]*(1-Table1[[#This Row],[Lapse rate]])</f>
        <v>0.85028152000000001</v>
      </c>
      <c r="AA86" s="13">
        <f>PRODUCT(Z$17:Z86)</f>
        <v>3.4291891658623015E-2</v>
      </c>
      <c r="AB86" s="50">
        <f>Y85*Table1[[#This Row],[one-year conditional mortality NOW]]</f>
        <v>4.659536592708563E-2</v>
      </c>
      <c r="AC86" s="14">
        <v>1.9699999999999999E-2</v>
      </c>
      <c r="AD86" s="28">
        <f>(1+Table1[[#This Row],[Yield curve now]])^(Table1[[#This Row],[age since issue]]-$A$23)</f>
        <v>3.4179241135632394</v>
      </c>
      <c r="AE86" s="46">
        <f t="shared" si="1"/>
        <v>1.2801548611652056</v>
      </c>
      <c r="AF86" s="42">
        <f>1-Table1[[#This Row],[cumulative debt until t]]</f>
        <v>-0.2801548611652056</v>
      </c>
      <c r="AG86" s="46">
        <f>Table1[[#This Row],[cumulative debt until t]]*Table1[[#This Row],[Unconditional mortality NOW]]/Table1[[#This Row],[discouter with yield curve]]</f>
        <v>1.7451904201917737E-2</v>
      </c>
      <c r="AH86" s="48">
        <f>Table1[[#This Row],[Unconditional mortality NOW]]/Table1[[#This Row],[discouter with yield curve]]</f>
        <v>1.3632650807600649E-2</v>
      </c>
      <c r="AI86" s="29">
        <f>Table1[[#This Row],[user profit (death benefit - debt)]]*Table1[[#This Row],[Unconditional mortality NOW]]/Table1[[#This Row],[discouter with yield curve]]</f>
        <v>-3.8192533943170884E-3</v>
      </c>
      <c r="AJ86" s="29">
        <f>(1+$D$4)^(Table1[[#This Row],[age since issue]]-$A$23)</f>
        <v>6667.5140923016934</v>
      </c>
      <c r="AK86" s="57">
        <f>Table1[[#This Row],[level premium marked up]]*Table1[[#This Row],[unconditional survival NOW]]</f>
        <v>6.7009206489180326E-4</v>
      </c>
      <c r="AL86" s="62">
        <f>Table1[[#This Row],[cumulative debt until t]]*Table1[[#This Row],[Unconditional mortality NOW]]</f>
        <v>5.9649284199330257E-2</v>
      </c>
      <c r="AM86" s="47">
        <f>Table1[[#This Row],[probablistic premium stream]]/Table1[[#This Row],[lender discounter]]</f>
        <v>1.0050103466080275E-7</v>
      </c>
      <c r="AN86" s="58">
        <f>Table1[[#This Row],[probablistic repay from borrower]]/Table1[[#This Row],[lender discounter]]</f>
        <v>8.9462554369703211E-6</v>
      </c>
      <c r="AO86" s="47">
        <f>(Table1[[#This Row],[probablistic repay from borrower]]-Table1[[#This Row],[probablistic premium stream]])/Table1[[#This Row],[lender discounter]]</f>
        <v>8.8457544023095182E-6</v>
      </c>
      <c r="AP86" s="46">
        <f>AP85*(1+$D$4)+ Table1[[#This Row],[level premium marked up]]</f>
        <v>101.76244521219698</v>
      </c>
      <c r="AQ86" s="58">
        <f>AP86*Table1[[#This Row],[Unconditional mortality NOW]]</f>
        <v>4.7416583722973211</v>
      </c>
      <c r="AR86" s="60">
        <f>Table1[[#This Row],[cumulative debt until t]]*Table1[[#This Row],[Unconditional mortality NOW]]</f>
        <v>5.9649284199330257E-2</v>
      </c>
      <c r="AS86" s="58">
        <f>Table1[[#This Row],[lender to pay cumulative probablistic undiscounted]]/Table1[[#This Row],[lender discounter]]</f>
        <v>7.1115835777115736E-4</v>
      </c>
    </row>
    <row r="87" spans="1:45" s="3" customFormat="1">
      <c r="A87" s="3">
        <v>91</v>
      </c>
      <c r="B87" s="8">
        <v>3.2000000000000001E-2</v>
      </c>
      <c r="C87" s="3">
        <v>0</v>
      </c>
      <c r="D87" s="8">
        <v>3.2000000000000001E-2</v>
      </c>
      <c r="E87" s="12">
        <v>0.16980999999999999</v>
      </c>
      <c r="F87" s="13">
        <f>1-Table1[[#This Row],[one-year conditional mortality AT ISSUE]]</f>
        <v>0.83018999999999998</v>
      </c>
      <c r="G87" s="13">
        <f>PRODUCT(F$17:F87)</f>
        <v>0.15504378250375561</v>
      </c>
      <c r="H87" s="13">
        <f>Table1[[#This Row],[one-year conditional survival AT ISSUE]]*(1-Table1[[#This Row],[Lapse rate]])</f>
        <v>0.80362391999999994</v>
      </c>
      <c r="I87" s="13">
        <f>PRODUCT(H$17:H87)</f>
        <v>1.0457392837058601E-2</v>
      </c>
      <c r="J87" s="13">
        <f>G86*Table1[[#This Row],[one-year conditional mortality AT ISSUE]]</f>
        <v>3.1713203853289899E-2</v>
      </c>
      <c r="K87" s="10">
        <f>I86*Table1[[#This Row],[one-year conditional mortality AT ISSUE]]</f>
        <v>2.2097026151995589E-3</v>
      </c>
      <c r="L87" s="3">
        <f t="shared" si="3"/>
        <v>1.9910109748700498E-3</v>
      </c>
      <c r="M87" s="44">
        <f>Table1[[#This Row],[Death benefit pay probability]]/Table1[[#This Row],[unconditional persistency AT ISSUE]]</f>
        <v>0.21130530808490619</v>
      </c>
      <c r="N87" s="44">
        <f>Table1[[#This Row],[one-year conditional mortality AT ISSUE]]/Table1[[#This Row],[one-year conditional persistency AT ISSUE]]</f>
        <v>0.21130530808490619</v>
      </c>
      <c r="O87" s="4">
        <f>(1+$B$14)^(Table1[[#This Row],[age since issue]]-$A$17)</f>
        <v>11.112825260670185</v>
      </c>
      <c r="P87" s="5">
        <f>(Table1[[#This Row],[level premium unmarked-up]]*Table1[[#This Row],[unconditional persistency AT ISSUE]]-Table1[[#This Row],[Death benefit pay probability]])</f>
        <v>-2.1888818312924478E-3</v>
      </c>
      <c r="Q87" s="4">
        <f>Table1[[#This Row],[Issuer profit with unmarked-up level premium]]/Table1[[#This Row],[Issuer discounter at issue]]</f>
        <v>-1.9696897773055077E-4</v>
      </c>
      <c r="R87" s="4">
        <f>(Table1[[#This Row],[variable premium unmarked up]]*Table1[[#This Row],[unconditional persistency AT ISSUE]]-Table1[[#This Row],[Death benefit pay probability]])</f>
        <v>0</v>
      </c>
      <c r="S87" s="6">
        <f>Table1[[#This Row],[level premium unmarked-up]]*(1+$B$15)</f>
        <v>1.9910109748700498E-3</v>
      </c>
      <c r="T87" s="6">
        <f>MIN(Table1[[#This Row],[variable premium unmarked up]]*(1+$B$15),1)</f>
        <v>0.21130530808490619</v>
      </c>
      <c r="U87" s="6">
        <f>Table1[[#This Row],[level premium marked up]]-Table1[[#This Row],[variable premium marked up]]</f>
        <v>-0.20931429711003613</v>
      </c>
      <c r="V87" s="6">
        <f>Table1[[#This Row],[additional cash]]+V86*(1+$D$2)</f>
        <v>-1.8967884736788572</v>
      </c>
      <c r="W87" s="12">
        <v>0.13689999999999999</v>
      </c>
      <c r="X87" s="13">
        <f>1-Table1[[#This Row],[one-year conditional mortality NOW]]</f>
        <v>0.86309999999999998</v>
      </c>
      <c r="Y87" s="49">
        <f>PRODUCT(X$17:X87)</f>
        <v>0.29048381375490101</v>
      </c>
      <c r="Z87" s="13">
        <f>Table1[[#This Row],[one-year conditional survival NOW]]*(1-Table1[[#This Row],[Lapse rate]])</f>
        <v>0.83548079999999991</v>
      </c>
      <c r="AA87" s="13">
        <f>PRODUCT(Z$17:Z87)</f>
        <v>2.8650217076459681E-2</v>
      </c>
      <c r="AB87" s="50">
        <f>Y86*Table1[[#This Row],[one-year conditional mortality NOW]]</f>
        <v>4.607488599588222E-2</v>
      </c>
      <c r="AC87" s="14">
        <v>1.9699999999999999E-2</v>
      </c>
      <c r="AD87" s="28">
        <f>(1+Table1[[#This Row],[Yield curve now]])^(Table1[[#This Row],[age since issue]]-$A$23)</f>
        <v>3.4852572186004354</v>
      </c>
      <c r="AE87" s="46">
        <f t="shared" si="1"/>
        <v>1.3576349435059964</v>
      </c>
      <c r="AF87" s="42">
        <f>1-Table1[[#This Row],[cumulative debt until t]]</f>
        <v>-0.35763494350599645</v>
      </c>
      <c r="AG87" s="46">
        <f>Table1[[#This Row],[cumulative debt until t]]*Table1[[#This Row],[Unconditional mortality NOW]]/Table1[[#This Row],[discouter with yield curve]]</f>
        <v>1.7947850423270614E-2</v>
      </c>
      <c r="AH87" s="48">
        <f>Table1[[#This Row],[Unconditional mortality NOW]]/Table1[[#This Row],[discouter with yield curve]]</f>
        <v>1.3219938473977073E-2</v>
      </c>
      <c r="AI87" s="29">
        <f>Table1[[#This Row],[user profit (death benefit - debt)]]*Table1[[#This Row],[Unconditional mortality NOW]]/Table1[[#This Row],[discouter with yield curve]]</f>
        <v>-4.7279119492935392E-3</v>
      </c>
      <c r="AJ87" s="29">
        <f>(1+$D$4)^(Table1[[#This Row],[age since issue]]-$A$23)</f>
        <v>7667.6412061469455</v>
      </c>
      <c r="AK87" s="57">
        <f>Table1[[#This Row],[level premium marked up]]*Table1[[#This Row],[unconditional survival NOW]]</f>
        <v>5.7835646120811546E-4</v>
      </c>
      <c r="AL87" s="62">
        <f>Table1[[#This Row],[cumulative debt until t]]*Table1[[#This Row],[Unconditional mortality NOW]]</f>
        <v>6.2552875246064787E-2</v>
      </c>
      <c r="AM87" s="47">
        <f>Table1[[#This Row],[probablistic premium stream]]/Table1[[#This Row],[lender discounter]]</f>
        <v>7.542821131803381E-8</v>
      </c>
      <c r="AN87" s="58">
        <f>Table1[[#This Row],[probablistic repay from borrower]]/Table1[[#This Row],[lender discounter]]</f>
        <v>8.1580336852378796E-6</v>
      </c>
      <c r="AO87" s="47">
        <f>(Table1[[#This Row],[probablistic repay from borrower]]-Table1[[#This Row],[probablistic premium stream]])/Table1[[#This Row],[lender discounter]]</f>
        <v>8.0826054739198466E-6</v>
      </c>
      <c r="AP87" s="46">
        <f>AP86*(1+$D$4)+ Table1[[#This Row],[level premium marked up]]</f>
        <v>117.02880300500139</v>
      </c>
      <c r="AQ87" s="58">
        <f>AP87*Table1[[#This Row],[Unconditional mortality NOW]]</f>
        <v>5.392088756689998</v>
      </c>
      <c r="AR87" s="60">
        <f>Table1[[#This Row],[cumulative debt until t]]*Table1[[#This Row],[Unconditional mortality NOW]]</f>
        <v>6.2552875246064787E-2</v>
      </c>
      <c r="AS87" s="58">
        <f>Table1[[#This Row],[lender to pay cumulative probablistic undiscounted]]/Table1[[#This Row],[lender discounter]]</f>
        <v>7.0322653495670908E-4</v>
      </c>
    </row>
    <row r="88" spans="1:45" s="3" customFormat="1">
      <c r="A88" s="3">
        <v>92</v>
      </c>
      <c r="B88" s="8">
        <v>3.2000000000000001E-2</v>
      </c>
      <c r="C88" s="3">
        <v>0</v>
      </c>
      <c r="D88" s="8">
        <v>3.2000000000000001E-2</v>
      </c>
      <c r="E88" s="12">
        <v>0.18318999999999999</v>
      </c>
      <c r="F88" s="13">
        <f>1-Table1[[#This Row],[one-year conditional mortality AT ISSUE]]</f>
        <v>0.81681000000000004</v>
      </c>
      <c r="G88" s="13">
        <f>PRODUCT(F$17:F88)</f>
        <v>0.12664131198689263</v>
      </c>
      <c r="H88" s="13">
        <f>Table1[[#This Row],[one-year conditional survival AT ISSUE]]*(1-Table1[[#This Row],[Lapse rate]])</f>
        <v>0.79067208</v>
      </c>
      <c r="I88" s="13">
        <f>PRODUCT(H$17:H88)</f>
        <v>8.2683685458542246E-3</v>
      </c>
      <c r="J88" s="13">
        <f>G87*Table1[[#This Row],[one-year conditional mortality AT ISSUE]]</f>
        <v>2.8402470516862989E-2</v>
      </c>
      <c r="K88" s="10">
        <f>I87*Table1[[#This Row],[one-year conditional mortality AT ISSUE]]</f>
        <v>1.9156897938207649E-3</v>
      </c>
      <c r="L88" s="3">
        <f t="shared" si="3"/>
        <v>1.9910109748700498E-3</v>
      </c>
      <c r="M88" s="44">
        <f>Table1[[#This Row],[Death benefit pay probability]]/Table1[[#This Row],[unconditional persistency AT ISSUE]]</f>
        <v>0.2316889702239138</v>
      </c>
      <c r="N88" s="44">
        <f>Table1[[#This Row],[one-year conditional mortality AT ISSUE]]/Table1[[#This Row],[one-year conditional persistency AT ISSUE]]</f>
        <v>0.2316889702239138</v>
      </c>
      <c r="O88" s="4">
        <f>(1+$B$14)^(Table1[[#This Row],[age since issue]]-$A$17)</f>
        <v>11.501774144793639</v>
      </c>
      <c r="P88" s="5">
        <f>(Table1[[#This Row],[level premium unmarked-up]]*Table1[[#This Row],[unconditional persistency AT ISSUE]]-Table1[[#This Row],[Death benefit pay probability]])</f>
        <v>-1.8992273813016988E-3</v>
      </c>
      <c r="Q88" s="4">
        <f>Table1[[#This Row],[Issuer profit with unmarked-up level premium]]/Table1[[#This Row],[Issuer discounter at issue]]</f>
        <v>-1.6512473270581459E-4</v>
      </c>
      <c r="R88" s="4">
        <f>(Table1[[#This Row],[variable premium unmarked up]]*Table1[[#This Row],[unconditional persistency AT ISSUE]]-Table1[[#This Row],[Death benefit pay probability]])</f>
        <v>0</v>
      </c>
      <c r="S88" s="6">
        <f>Table1[[#This Row],[level premium unmarked-up]]*(1+$B$15)</f>
        <v>1.9910109748700498E-3</v>
      </c>
      <c r="T88" s="6">
        <f>MIN(Table1[[#This Row],[variable premium unmarked up]]*(1+$B$15),1)</f>
        <v>0.2316889702239138</v>
      </c>
      <c r="U88" s="6">
        <f>Table1[[#This Row],[level premium marked up]]-Table1[[#This Row],[variable premium marked up]]</f>
        <v>-0.22969795924904374</v>
      </c>
      <c r="V88" s="6">
        <f>Table1[[#This Row],[additional cash]]+V87*(1+$D$2)</f>
        <v>-2.1283832214015797</v>
      </c>
      <c r="W88" s="12">
        <v>0.15260000000000001</v>
      </c>
      <c r="X88" s="13">
        <f>1-Table1[[#This Row],[one-year conditional mortality NOW]]</f>
        <v>0.84739999999999993</v>
      </c>
      <c r="Y88" s="49">
        <f>PRODUCT(X$17:X88)</f>
        <v>0.24615598377590309</v>
      </c>
      <c r="Z88" s="13">
        <f>Table1[[#This Row],[one-year conditional survival NOW]]*(1-Table1[[#This Row],[Lapse rate]])</f>
        <v>0.82028319999999988</v>
      </c>
      <c r="AA88" s="13">
        <f>PRODUCT(Z$17:Z88)</f>
        <v>2.3501291744172988E-2</v>
      </c>
      <c r="AB88" s="50">
        <f>Y87*Table1[[#This Row],[one-year conditional mortality NOW]]</f>
        <v>4.4327829978997896E-2</v>
      </c>
      <c r="AC88" s="14">
        <v>1.9699999999999999E-2</v>
      </c>
      <c r="AD88" s="28">
        <f>(1+Table1[[#This Row],[Yield curve now]])^(Table1[[#This Row],[age since issue]]-$A$23)</f>
        <v>3.5539167858068641</v>
      </c>
      <c r="AE88" s="46">
        <f t="shared" si="1"/>
        <v>1.4396768308584891</v>
      </c>
      <c r="AF88" s="42">
        <f>1-Table1[[#This Row],[cumulative debt until t]]</f>
        <v>-0.43967683085848908</v>
      </c>
      <c r="AG88" s="46">
        <f>Table1[[#This Row],[cumulative debt until t]]*Table1[[#This Row],[Unconditional mortality NOW]]/Table1[[#This Row],[discouter with yield curve]]</f>
        <v>1.7957018588016474E-2</v>
      </c>
      <c r="AH88" s="48">
        <f>Table1[[#This Row],[Unconditional mortality NOW]]/Table1[[#This Row],[discouter with yield curve]]</f>
        <v>1.2472951014505513E-2</v>
      </c>
      <c r="AI88" s="29">
        <f>Table1[[#This Row],[user profit (death benefit - debt)]]*Table1[[#This Row],[Unconditional mortality NOW]]/Table1[[#This Row],[discouter with yield curve]]</f>
        <v>-5.4840675735109597E-3</v>
      </c>
      <c r="AJ88" s="29">
        <f>(1+$D$4)^(Table1[[#This Row],[age since issue]]-$A$23)</f>
        <v>8817.7873870689873</v>
      </c>
      <c r="AK88" s="57">
        <f>Table1[[#This Row],[level premium marked up]]*Table1[[#This Row],[unconditional survival NOW]]</f>
        <v>4.9009926522775699E-4</v>
      </c>
      <c r="AL88" s="62">
        <f>Table1[[#This Row],[cumulative debt until t]]*Table1[[#This Row],[Unconditional mortality NOW]]</f>
        <v>6.3817749782997618E-2</v>
      </c>
      <c r="AM88" s="47">
        <f>Table1[[#This Row],[probablistic premium stream]]/Table1[[#This Row],[lender discounter]]</f>
        <v>5.5580753279045082E-8</v>
      </c>
      <c r="AN88" s="58">
        <f>Table1[[#This Row],[probablistic repay from borrower]]/Table1[[#This Row],[lender discounter]]</f>
        <v>7.2373881316966632E-6</v>
      </c>
      <c r="AO88" s="47">
        <f>(Table1[[#This Row],[probablistic repay from borrower]]-Table1[[#This Row],[probablistic premium stream]])/Table1[[#This Row],[lender discounter]]</f>
        <v>7.1818073784176185E-6</v>
      </c>
      <c r="AP88" s="46">
        <f>AP87*(1+$D$4)+ Table1[[#This Row],[level premium marked up]]</f>
        <v>134.58511446672648</v>
      </c>
      <c r="AQ88" s="58">
        <f>AP88*Table1[[#This Row],[Unconditional mortality NOW]]</f>
        <v>5.9658660717850216</v>
      </c>
      <c r="AR88" s="60">
        <f>Table1[[#This Row],[cumulative debt until t]]*Table1[[#This Row],[Unconditional mortality NOW]]</f>
        <v>6.3817749782997618E-2</v>
      </c>
      <c r="AS88" s="58">
        <f>Table1[[#This Row],[lender to pay cumulative probablistic undiscounted]]/Table1[[#This Row],[lender discounter]]</f>
        <v>6.7657177587812786E-4</v>
      </c>
    </row>
    <row r="89" spans="1:45" s="3" customFormat="1">
      <c r="A89" s="3">
        <v>93</v>
      </c>
      <c r="B89" s="8">
        <v>3.2000000000000001E-2</v>
      </c>
      <c r="C89" s="3">
        <v>0</v>
      </c>
      <c r="D89" s="8">
        <v>3.2000000000000001E-2</v>
      </c>
      <c r="E89" s="12">
        <v>0.19707</v>
      </c>
      <c r="F89" s="13">
        <f>1-Table1[[#This Row],[one-year conditional mortality AT ISSUE]]</f>
        <v>0.80293000000000003</v>
      </c>
      <c r="G89" s="13">
        <f>PRODUCT(F$17:F89)</f>
        <v>0.10168410863363571</v>
      </c>
      <c r="H89" s="13">
        <f>Table1[[#This Row],[one-year conditional survival AT ISSUE]]*(1-Table1[[#This Row],[Lapse rate]])</f>
        <v>0.77723624000000002</v>
      </c>
      <c r="I89" s="13">
        <f>PRODUCT(H$17:H89)</f>
        <v>6.426475679514005E-3</v>
      </c>
      <c r="J89" s="13">
        <f>G88*Table1[[#This Row],[one-year conditional mortality AT ISSUE]]</f>
        <v>2.4957203353256931E-2</v>
      </c>
      <c r="K89" s="10">
        <f>I88*Table1[[#This Row],[one-year conditional mortality AT ISSUE]]</f>
        <v>1.629447389331492E-3</v>
      </c>
      <c r="L89" s="3">
        <f t="shared" si="3"/>
        <v>1.9910109748700498E-3</v>
      </c>
      <c r="M89" s="44">
        <f>Table1[[#This Row],[Death benefit pay probability]]/Table1[[#This Row],[unconditional persistency AT ISSUE]]</f>
        <v>0.25355225330203335</v>
      </c>
      <c r="N89" s="44">
        <f>Table1[[#This Row],[one-year conditional mortality AT ISSUE]]/Table1[[#This Row],[one-year conditional persistency AT ISSUE]]</f>
        <v>0.25355225330203335</v>
      </c>
      <c r="O89" s="4">
        <f>(1+$B$14)^(Table1[[#This Row],[age since issue]]-$A$17)</f>
        <v>11.904336239861415</v>
      </c>
      <c r="P89" s="5">
        <f>(Table1[[#This Row],[level premium unmarked-up]]*Table1[[#This Row],[unconditional persistency AT ISSUE]]-Table1[[#This Row],[Death benefit pay probability]])</f>
        <v>-1.6166522057238441E-3</v>
      </c>
      <c r="Q89" s="4">
        <f>Table1[[#This Row],[Issuer profit with unmarked-up level premium]]/Table1[[#This Row],[Issuer discounter at issue]]</f>
        <v>-1.3580364105564481E-4</v>
      </c>
      <c r="R89" s="4">
        <f>(Table1[[#This Row],[variable premium unmarked up]]*Table1[[#This Row],[unconditional persistency AT ISSUE]]-Table1[[#This Row],[Death benefit pay probability]])</f>
        <v>0</v>
      </c>
      <c r="S89" s="6">
        <f>Table1[[#This Row],[level premium unmarked-up]]*(1+$B$15)</f>
        <v>1.9910109748700498E-3</v>
      </c>
      <c r="T89" s="6">
        <f>MIN(Table1[[#This Row],[variable premium unmarked up]]*(1+$B$15),1)</f>
        <v>0.25355225330203335</v>
      </c>
      <c r="U89" s="6">
        <f>Table1[[#This Row],[level premium marked up]]-Table1[[#This Row],[variable premium marked up]]</f>
        <v>-0.25156124232716331</v>
      </c>
      <c r="V89" s="6">
        <f>Table1[[#This Row],[additional cash]]+V88*(1+$D$2)</f>
        <v>-2.3820728469501442</v>
      </c>
      <c r="W89" s="12">
        <v>0.16828000000000001</v>
      </c>
      <c r="X89" s="13">
        <f>1-Table1[[#This Row],[one-year conditional mortality NOW]]</f>
        <v>0.83172000000000001</v>
      </c>
      <c r="Y89" s="49">
        <f>PRODUCT(X$17:X89)</f>
        <v>0.20473285482609413</v>
      </c>
      <c r="Z89" s="13">
        <f>Table1[[#This Row],[one-year conditional survival NOW]]*(1-Table1[[#This Row],[Lapse rate]])</f>
        <v>0.80510495999999998</v>
      </c>
      <c r="AA89" s="13">
        <f>PRODUCT(Z$17:Z89)</f>
        <v>1.8921006549640722E-2</v>
      </c>
      <c r="AB89" s="50">
        <f>Y88*Table1[[#This Row],[one-year conditional mortality NOW]]</f>
        <v>4.1423128949808978E-2</v>
      </c>
      <c r="AC89" s="14">
        <v>1.9699999999999999E-2</v>
      </c>
      <c r="AD89" s="28">
        <f>(1+Table1[[#This Row],[Yield curve now]])^(Table1[[#This Row],[age since issue]]-$A$23)</f>
        <v>3.6239289464872595</v>
      </c>
      <c r="AE89" s="46">
        <f t="shared" ref="AE89:AE152" si="4">(AE88+L88)*(1+$B$2)</f>
        <v>1.5265491092171235</v>
      </c>
      <c r="AF89" s="42">
        <f>1-Table1[[#This Row],[cumulative debt until t]]</f>
        <v>-0.5265491092171235</v>
      </c>
      <c r="AG89" s="46">
        <f>Table1[[#This Row],[cumulative debt until t]]*Table1[[#This Row],[Unconditional mortality NOW]]/Table1[[#This Row],[discouter with yield curve]]</f>
        <v>1.7449139189279976E-2</v>
      </c>
      <c r="AH89" s="48">
        <f>Table1[[#This Row],[Unconditional mortality NOW]]/Table1[[#This Row],[discouter with yield curve]]</f>
        <v>1.1430447329813454E-2</v>
      </c>
      <c r="AI89" s="29">
        <f>Table1[[#This Row],[user profit (death benefit - debt)]]*Table1[[#This Row],[Unconditional mortality NOW]]/Table1[[#This Row],[discouter with yield curve]]</f>
        <v>-6.0186918594665219E-3</v>
      </c>
      <c r="AJ89" s="29">
        <f>(1+$D$4)^(Table1[[#This Row],[age since issue]]-$A$23)</f>
        <v>10140.455495129334</v>
      </c>
      <c r="AK89" s="57">
        <f>Table1[[#This Row],[level premium marked up]]*Table1[[#This Row],[unconditional survival NOW]]</f>
        <v>4.0762536087523004E-4</v>
      </c>
      <c r="AL89" s="62">
        <f>Table1[[#This Row],[cumulative debt until t]]*Table1[[#This Row],[Unconditional mortality NOW]]</f>
        <v>6.3234440599316932E-2</v>
      </c>
      <c r="AM89" s="47">
        <f>Table1[[#This Row],[probablistic premium stream]]/Table1[[#This Row],[lender discounter]]</f>
        <v>4.0197934014997723E-8</v>
      </c>
      <c r="AN89" s="58">
        <f>Table1[[#This Row],[probablistic repay from borrower]]/Table1[[#This Row],[lender discounter]]</f>
        <v>6.2358580075312901E-6</v>
      </c>
      <c r="AO89" s="47">
        <f>(Table1[[#This Row],[probablistic repay from borrower]]-Table1[[#This Row],[probablistic premium stream]])/Table1[[#This Row],[lender discounter]]</f>
        <v>6.195660073516293E-6</v>
      </c>
      <c r="AP89" s="46">
        <f>AP88*(1+$D$4)+ Table1[[#This Row],[level premium marked up]]</f>
        <v>154.77487264771031</v>
      </c>
      <c r="AQ89" s="58">
        <f>AP89*Table1[[#This Row],[Unconditional mortality NOW]]</f>
        <v>6.411259507876367</v>
      </c>
      <c r="AR89" s="60">
        <f>Table1[[#This Row],[cumulative debt until t]]*Table1[[#This Row],[Unconditional mortality NOW]]</f>
        <v>6.3234440599316932E-2</v>
      </c>
      <c r="AS89" s="58">
        <f>Table1[[#This Row],[lender to pay cumulative probablistic undiscounted]]/Table1[[#This Row],[lender discounter]]</f>
        <v>6.3224571233075528E-4</v>
      </c>
    </row>
    <row r="90" spans="1:45" s="3" customFormat="1">
      <c r="A90" s="3">
        <v>94</v>
      </c>
      <c r="B90" s="8">
        <v>3.2000000000000001E-2</v>
      </c>
      <c r="C90" s="3">
        <v>0</v>
      </c>
      <c r="D90" s="8">
        <v>3.2000000000000001E-2</v>
      </c>
      <c r="E90" s="12">
        <v>0.21163000000000001</v>
      </c>
      <c r="F90" s="13">
        <f>1-Table1[[#This Row],[one-year conditional mortality AT ISSUE]]</f>
        <v>0.78837000000000002</v>
      </c>
      <c r="G90" s="13">
        <f>PRODUCT(F$17:F90)</f>
        <v>8.0164700723499391E-2</v>
      </c>
      <c r="H90" s="13">
        <f>Table1[[#This Row],[one-year conditional survival AT ISSUE]]*(1-Table1[[#This Row],[Lapse rate]])</f>
        <v>0.76314216000000001</v>
      </c>
      <c r="I90" s="13">
        <f>PRODUCT(H$17:H90)</f>
        <v>4.9043145312517855E-3</v>
      </c>
      <c r="J90" s="13">
        <f>G89*Table1[[#This Row],[one-year conditional mortality AT ISSUE]]</f>
        <v>2.1519407910136325E-2</v>
      </c>
      <c r="K90" s="10">
        <f>I89*Table1[[#This Row],[one-year conditional mortality AT ISSUE]]</f>
        <v>1.360035048055549E-3</v>
      </c>
      <c r="L90" s="3">
        <f t="shared" si="3"/>
        <v>1.9910109748700498E-3</v>
      </c>
      <c r="M90" s="44">
        <f>Table1[[#This Row],[Death benefit pay probability]]/Table1[[#This Row],[unconditional persistency AT ISSUE]]</f>
        <v>0.27731399350286196</v>
      </c>
      <c r="N90" s="44">
        <f>Table1[[#This Row],[one-year conditional mortality AT ISSUE]]/Table1[[#This Row],[one-year conditional persistency AT ISSUE]]</f>
        <v>0.2773139935028619</v>
      </c>
      <c r="O90" s="4">
        <f>(1+$B$14)^(Table1[[#This Row],[age since issue]]-$A$17)</f>
        <v>12.320988008256563</v>
      </c>
      <c r="P90" s="5">
        <f>(Table1[[#This Row],[level premium unmarked-up]]*Table1[[#This Row],[unconditional persistency AT ISSUE]]-Table1[[#This Row],[Death benefit pay probability]])</f>
        <v>-1.350270503999612E-3</v>
      </c>
      <c r="Q90" s="4">
        <f>Table1[[#This Row],[Issuer profit with unmarked-up level premium]]/Table1[[#This Row],[Issuer discounter at issue]]</f>
        <v>-1.0959108986184925E-4</v>
      </c>
      <c r="R90" s="4">
        <f>(Table1[[#This Row],[variable premium unmarked up]]*Table1[[#This Row],[unconditional persistency AT ISSUE]]-Table1[[#This Row],[Death benefit pay probability]])</f>
        <v>2.1684043449710089E-19</v>
      </c>
      <c r="S90" s="6">
        <f>Table1[[#This Row],[level premium unmarked-up]]*(1+$B$15)</f>
        <v>1.9910109748700498E-3</v>
      </c>
      <c r="T90" s="6">
        <f>MIN(Table1[[#This Row],[variable premium unmarked up]]*(1+$B$15),1)</f>
        <v>0.27731399350286196</v>
      </c>
      <c r="U90" s="6">
        <f>Table1[[#This Row],[level premium marked up]]-Table1[[#This Row],[variable premium marked up]]</f>
        <v>-0.27532298252799192</v>
      </c>
      <c r="V90" s="6">
        <f>Table1[[#This Row],[additional cash]]+V89*(1+$D$2)</f>
        <v>-2.6597779023250858</v>
      </c>
      <c r="W90" s="12">
        <v>0.18373999999999999</v>
      </c>
      <c r="X90" s="13">
        <f>1-Table1[[#This Row],[one-year conditional mortality NOW]]</f>
        <v>0.81625999999999999</v>
      </c>
      <c r="Y90" s="49">
        <f>PRODUCT(X$17:X90)</f>
        <v>0.16711524008034759</v>
      </c>
      <c r="Z90" s="13">
        <f>Table1[[#This Row],[one-year conditional survival NOW]]*(1-Table1[[#This Row],[Lapse rate]])</f>
        <v>0.79013968000000001</v>
      </c>
      <c r="AA90" s="13">
        <f>PRODUCT(Z$17:Z90)</f>
        <v>1.4950238060411025E-2</v>
      </c>
      <c r="AB90" s="50">
        <f>Y89*Table1[[#This Row],[one-year conditional mortality NOW]]</f>
        <v>3.7617614745746535E-2</v>
      </c>
      <c r="AC90" s="14">
        <v>1.9699999999999999E-2</v>
      </c>
      <c r="AD90" s="28">
        <f>(1+Table1[[#This Row],[Yield curve now]])^(Table1[[#This Row],[age since issue]]-$A$23)</f>
        <v>3.6953203467330584</v>
      </c>
      <c r="AE90" s="46">
        <f t="shared" si="4"/>
        <v>1.6185361781493057</v>
      </c>
      <c r="AF90" s="42">
        <f>1-Table1[[#This Row],[cumulative debt until t]]</f>
        <v>-0.61853617814930573</v>
      </c>
      <c r="AG90" s="46">
        <f>Table1[[#This Row],[cumulative debt until t]]*Table1[[#This Row],[Unconditional mortality NOW]]/Table1[[#This Row],[discouter with yield curve]]</f>
        <v>1.6476371380224425E-2</v>
      </c>
      <c r="AH90" s="48">
        <f>Table1[[#This Row],[Unconditional mortality NOW]]/Table1[[#This Row],[discouter with yield curve]]</f>
        <v>1.0179798019136106E-2</v>
      </c>
      <c r="AI90" s="29">
        <f>Table1[[#This Row],[user profit (death benefit - debt)]]*Table1[[#This Row],[Unconditional mortality NOW]]/Table1[[#This Row],[discouter with yield curve]]</f>
        <v>-6.2965733610883196E-3</v>
      </c>
      <c r="AJ90" s="29">
        <f>(1+$D$4)^(Table1[[#This Row],[age since issue]]-$A$23)</f>
        <v>11661.523819398732</v>
      </c>
      <c r="AK90" s="57">
        <f>Table1[[#This Row],[level premium marked up]]*Table1[[#This Row],[unconditional survival NOW]]</f>
        <v>3.3272827706801525E-4</v>
      </c>
      <c r="AL90" s="62">
        <f>Table1[[#This Row],[cumulative debt until t]]*Table1[[#This Row],[Unconditional mortality NOW]]</f>
        <v>6.0885470401673566E-2</v>
      </c>
      <c r="AM90" s="47">
        <f>Table1[[#This Row],[probablistic premium stream]]/Table1[[#This Row],[lender discounter]]</f>
        <v>2.8532144016593084E-8</v>
      </c>
      <c r="AN90" s="58">
        <f>Table1[[#This Row],[probablistic repay from borrower]]/Table1[[#This Row],[lender discounter]]</f>
        <v>5.2210561282215711E-6</v>
      </c>
      <c r="AO90" s="47">
        <f>(Table1[[#This Row],[probablistic repay from borrower]]-Table1[[#This Row],[probablistic premium stream]])/Table1[[#This Row],[lender discounter]]</f>
        <v>5.1925239842049782E-6</v>
      </c>
      <c r="AP90" s="46">
        <f>AP89*(1+$D$4)+ Table1[[#This Row],[level premium marked up]]</f>
        <v>177.99309455584171</v>
      </c>
      <c r="AQ90" s="58">
        <f>AP90*Table1[[#This Row],[Unconditional mortality NOW]]</f>
        <v>6.6956756584048884</v>
      </c>
      <c r="AR90" s="60">
        <f>Table1[[#This Row],[cumulative debt until t]]*Table1[[#This Row],[Unconditional mortality NOW]]</f>
        <v>6.0885470401673566E-2</v>
      </c>
      <c r="AS90" s="58">
        <f>Table1[[#This Row],[lender to pay cumulative probablistic undiscounted]]/Table1[[#This Row],[lender discounter]]</f>
        <v>5.7416815864722189E-4</v>
      </c>
    </row>
    <row r="91" spans="1:45" s="3" customFormat="1">
      <c r="A91" s="3">
        <v>95</v>
      </c>
      <c r="B91" s="8">
        <v>3.2000000000000001E-2</v>
      </c>
      <c r="C91" s="3">
        <v>0</v>
      </c>
      <c r="D91" s="8">
        <v>3.2000000000000001E-2</v>
      </c>
      <c r="E91" s="12">
        <v>0.22696</v>
      </c>
      <c r="F91" s="13">
        <f>1-Table1[[#This Row],[one-year conditional mortality AT ISSUE]]</f>
        <v>0.77303999999999995</v>
      </c>
      <c r="G91" s="13">
        <f>PRODUCT(F$17:F91)</f>
        <v>6.1970520247293964E-2</v>
      </c>
      <c r="H91" s="13">
        <f>Table1[[#This Row],[one-year conditional survival AT ISSUE]]*(1-Table1[[#This Row],[Lapse rate]])</f>
        <v>0.74830271999999998</v>
      </c>
      <c r="I91" s="13">
        <f>PRODUCT(H$17:H91)</f>
        <v>3.6699119034712359E-3</v>
      </c>
      <c r="J91" s="13">
        <f>G90*Table1[[#This Row],[one-year conditional mortality AT ISSUE]]</f>
        <v>1.819418047620542E-2</v>
      </c>
      <c r="K91" s="10">
        <f>I90*Table1[[#This Row],[one-year conditional mortality AT ISSUE]]</f>
        <v>1.1130832260129052E-3</v>
      </c>
      <c r="L91" s="3">
        <f t="shared" si="3"/>
        <v>1.9910109748700498E-3</v>
      </c>
      <c r="M91" s="44">
        <f>Table1[[#This Row],[Death benefit pay probability]]/Table1[[#This Row],[unconditional persistency AT ISSUE]]</f>
        <v>0.30329971271519635</v>
      </c>
      <c r="N91" s="44">
        <f>Table1[[#This Row],[one-year conditional mortality AT ISSUE]]/Table1[[#This Row],[one-year conditional persistency AT ISSUE]]</f>
        <v>0.30329971271519635</v>
      </c>
      <c r="O91" s="4">
        <f>(1+$B$14)^(Table1[[#This Row],[age since issue]]-$A$17)</f>
        <v>12.752222588545541</v>
      </c>
      <c r="P91" s="5">
        <f>(Table1[[#This Row],[level premium unmarked-up]]*Table1[[#This Row],[unconditional persistency AT ISSUE]]-Table1[[#This Row],[Death benefit pay probability]])</f>
        <v>-1.1057763911362878E-3</v>
      </c>
      <c r="Q91" s="4">
        <f>Table1[[#This Row],[Issuer profit with unmarked-up level premium]]/Table1[[#This Row],[Issuer discounter at issue]]</f>
        <v>-8.6712444317709123E-5</v>
      </c>
      <c r="R91" s="4">
        <f>(Table1[[#This Row],[variable premium unmarked up]]*Table1[[#This Row],[unconditional persistency AT ISSUE]]-Table1[[#This Row],[Death benefit pay probability]])</f>
        <v>0</v>
      </c>
      <c r="S91" s="6">
        <f>Table1[[#This Row],[level premium unmarked-up]]*(1+$B$15)</f>
        <v>1.9910109748700498E-3</v>
      </c>
      <c r="T91" s="6">
        <f>MIN(Table1[[#This Row],[variable premium unmarked up]]*(1+$B$15),1)</f>
        <v>0.30329971271519635</v>
      </c>
      <c r="U91" s="6">
        <f>Table1[[#This Row],[level premium marked up]]-Table1[[#This Row],[variable premium marked up]]</f>
        <v>-0.30130870174032631</v>
      </c>
      <c r="V91" s="6">
        <f>Table1[[#This Row],[additional cash]]+V90*(1+$D$2)</f>
        <v>-2.963746381967737</v>
      </c>
      <c r="W91" s="12">
        <v>0.19822000000000001</v>
      </c>
      <c r="X91" s="13">
        <f>1-Table1[[#This Row],[one-year conditional mortality NOW]]</f>
        <v>0.80177999999999994</v>
      </c>
      <c r="Y91" s="49">
        <f>PRODUCT(X$17:X91)</f>
        <v>0.13398965719162109</v>
      </c>
      <c r="Z91" s="13">
        <f>Table1[[#This Row],[one-year conditional survival NOW]]*(1-Table1[[#This Row],[Lapse rate]])</f>
        <v>0.77612303999999988</v>
      </c>
      <c r="AA91" s="13">
        <f>PRODUCT(Z$17:Z91)</f>
        <v>1.1603224212169905E-2</v>
      </c>
      <c r="AB91" s="50">
        <f>Y90*Table1[[#This Row],[one-year conditional mortality NOW]]</f>
        <v>3.3125582888726503E-2</v>
      </c>
      <c r="AC91" s="14">
        <v>1.9699999999999999E-2</v>
      </c>
      <c r="AD91" s="28">
        <f>(1+Table1[[#This Row],[Yield curve now]])^(Table1[[#This Row],[age since issue]]-$A$23)</f>
        <v>3.7681181575637002</v>
      </c>
      <c r="AE91" s="46">
        <f t="shared" si="4"/>
        <v>1.7159391818532255</v>
      </c>
      <c r="AF91" s="42">
        <f>1-Table1[[#This Row],[cumulative debt until t]]</f>
        <v>-0.71593918185322547</v>
      </c>
      <c r="AG91" s="46">
        <f>Table1[[#This Row],[cumulative debt until t]]*Table1[[#This Row],[Unconditional mortality NOW]]/Table1[[#This Row],[discouter with yield curve]]</f>
        <v>1.5084846924557103E-2</v>
      </c>
      <c r="AH91" s="48">
        <f>Table1[[#This Row],[Unconditional mortality NOW]]/Table1[[#This Row],[discouter with yield curve]]</f>
        <v>8.7910149054731476E-3</v>
      </c>
      <c r="AI91" s="29">
        <f>Table1[[#This Row],[user profit (death benefit - debt)]]*Table1[[#This Row],[Unconditional mortality NOW]]/Table1[[#This Row],[discouter with yield curve]]</f>
        <v>-6.293832019083955E-3</v>
      </c>
      <c r="AJ91" s="29">
        <f>(1+$D$4)^(Table1[[#This Row],[age since issue]]-$A$23)</f>
        <v>13410.752392308541</v>
      </c>
      <c r="AK91" s="57">
        <f>Table1[[#This Row],[level premium marked up]]*Table1[[#This Row],[unconditional survival NOW]]</f>
        <v>2.6677487798759328E-4</v>
      </c>
      <c r="AL91" s="62">
        <f>Table1[[#This Row],[cumulative debt until t]]*Table1[[#This Row],[Unconditional mortality NOW]]</f>
        <v>5.6841485600492563E-2</v>
      </c>
      <c r="AM91" s="47">
        <f>Table1[[#This Row],[probablistic premium stream]]/Table1[[#This Row],[lender discounter]]</f>
        <v>1.9892610808368699E-8</v>
      </c>
      <c r="AN91" s="58">
        <f>Table1[[#This Row],[probablistic repay from borrower]]/Table1[[#This Row],[lender discounter]]</f>
        <v>4.2385008639107243E-6</v>
      </c>
      <c r="AO91" s="47">
        <f>(Table1[[#This Row],[probablistic repay from borrower]]-Table1[[#This Row],[probablistic premium stream]])/Table1[[#This Row],[lender discounter]]</f>
        <v>4.2186082531023554E-6</v>
      </c>
      <c r="AP91" s="46">
        <f>AP90*(1+$D$4)+ Table1[[#This Row],[level premium marked up]]</f>
        <v>204.69404975019282</v>
      </c>
      <c r="AQ91" s="58">
        <f>AP91*Table1[[#This Row],[Unconditional mortality NOW]]</f>
        <v>6.7806097118291184</v>
      </c>
      <c r="AR91" s="60">
        <f>Table1[[#This Row],[cumulative debt until t]]*Table1[[#This Row],[Unconditional mortality NOW]]</f>
        <v>5.6841485600492563E-2</v>
      </c>
      <c r="AS91" s="58">
        <f>Table1[[#This Row],[lender to pay cumulative probablistic undiscounted]]/Table1[[#This Row],[lender discounter]]</f>
        <v>5.0560993995519567E-4</v>
      </c>
    </row>
    <row r="92" spans="1:45" s="3" customFormat="1">
      <c r="A92" s="3">
        <v>96</v>
      </c>
      <c r="B92" s="8">
        <v>3.2000000000000001E-2</v>
      </c>
      <c r="C92" s="3">
        <v>0</v>
      </c>
      <c r="D92" s="8">
        <v>3.2000000000000001E-2</v>
      </c>
      <c r="E92" s="12">
        <v>0.24298</v>
      </c>
      <c r="F92" s="13">
        <f>1-Table1[[#This Row],[one-year conditional mortality AT ISSUE]]</f>
        <v>0.75702000000000003</v>
      </c>
      <c r="G92" s="13">
        <f>PRODUCT(F$17:F92)</f>
        <v>4.6912923237606478E-2</v>
      </c>
      <c r="H92" s="13">
        <f>Table1[[#This Row],[one-year conditional survival AT ISSUE]]*(1-Table1[[#This Row],[Lapse rate]])</f>
        <v>0.73279536000000001</v>
      </c>
      <c r="I92" s="13">
        <f>PRODUCT(H$17:H92)</f>
        <v>2.6892944144724894E-3</v>
      </c>
      <c r="J92" s="13">
        <f>G91*Table1[[#This Row],[one-year conditional mortality AT ISSUE]]</f>
        <v>1.5057597009687488E-2</v>
      </c>
      <c r="K92" s="10">
        <f>I91*Table1[[#This Row],[one-year conditional mortality AT ISSUE]]</f>
        <v>8.9171519430544094E-4</v>
      </c>
      <c r="L92" s="3">
        <f t="shared" si="3"/>
        <v>1.9910109748700498E-3</v>
      </c>
      <c r="M92" s="44">
        <f>Table1[[#This Row],[Death benefit pay probability]]/Table1[[#This Row],[unconditional persistency AT ISSUE]]</f>
        <v>0.33157961043858142</v>
      </c>
      <c r="N92" s="44">
        <f>Table1[[#This Row],[one-year conditional mortality AT ISSUE]]/Table1[[#This Row],[one-year conditional persistency AT ISSUE]]</f>
        <v>0.33157961043858136</v>
      </c>
      <c r="O92" s="4">
        <f>(1+$B$14)^(Table1[[#This Row],[age since issue]]-$A$17)</f>
        <v>13.198550379144637</v>
      </c>
      <c r="P92" s="5">
        <f>(Table1[[#This Row],[level premium unmarked-up]]*Table1[[#This Row],[unconditional persistency AT ISSUE]]-Table1[[#This Row],[Death benefit pay probability]])</f>
        <v>-8.8636077961156952E-4</v>
      </c>
      <c r="Q92" s="4">
        <f>Table1[[#This Row],[Issuer profit with unmarked-up level premium]]/Table1[[#This Row],[Issuer discounter at issue]]</f>
        <v>-6.7155918956988687E-5</v>
      </c>
      <c r="R92" s="4">
        <f>(Table1[[#This Row],[variable premium unmarked up]]*Table1[[#This Row],[unconditional persistency AT ISSUE]]-Table1[[#This Row],[Death benefit pay probability]])</f>
        <v>0</v>
      </c>
      <c r="S92" s="6">
        <f>Table1[[#This Row],[level premium unmarked-up]]*(1+$B$15)</f>
        <v>1.9910109748700498E-3</v>
      </c>
      <c r="T92" s="6">
        <f>MIN(Table1[[#This Row],[variable premium unmarked up]]*(1+$B$15),1)</f>
        <v>0.33157961043858142</v>
      </c>
      <c r="U92" s="6">
        <f>Table1[[#This Row],[level premium marked up]]-Table1[[#This Row],[variable premium marked up]]</f>
        <v>-0.32958859946371138</v>
      </c>
      <c r="V92" s="6">
        <f>Table1[[#This Row],[additional cash]]+V91*(1+$D$2)</f>
        <v>-3.2962987278134159</v>
      </c>
      <c r="W92" s="12">
        <v>0.21107999999999999</v>
      </c>
      <c r="X92" s="13">
        <f>1-Table1[[#This Row],[one-year conditional mortality NOW]]</f>
        <v>0.78892000000000007</v>
      </c>
      <c r="Y92" s="49">
        <f>PRODUCT(X$17:X92)</f>
        <v>0.10570712035161373</v>
      </c>
      <c r="Z92" s="13">
        <f>Table1[[#This Row],[one-year conditional survival NOW]]*(1-Table1[[#This Row],[Lapse rate]])</f>
        <v>0.76367456</v>
      </c>
      <c r="AA92" s="13">
        <f>PRODUCT(Z$17:Z92)</f>
        <v>8.8610871448101987E-3</v>
      </c>
      <c r="AB92" s="50">
        <f>Y91*Table1[[#This Row],[one-year conditional mortality NOW]]</f>
        <v>2.828253684000738E-2</v>
      </c>
      <c r="AC92" s="14">
        <v>1.9699999999999999E-2</v>
      </c>
      <c r="AD92" s="28">
        <f>(1+Table1[[#This Row],[Yield curve now]])^(Table1[[#This Row],[age since issue]]-$A$23)</f>
        <v>3.8423500852677051</v>
      </c>
      <c r="AE92" s="46">
        <f t="shared" si="4"/>
        <v>1.8190769950336889</v>
      </c>
      <c r="AF92" s="42">
        <f>1-Table1[[#This Row],[cumulative debt until t]]</f>
        <v>-0.81907699503368891</v>
      </c>
      <c r="AG92" s="46">
        <f>Table1[[#This Row],[cumulative debt until t]]*Table1[[#This Row],[Unconditional mortality NOW]]/Table1[[#This Row],[discouter with yield curve]]</f>
        <v>1.3389751320191254E-2</v>
      </c>
      <c r="AH92" s="48">
        <f>Table1[[#This Row],[Unconditional mortality NOW]]/Table1[[#This Row],[discouter with yield curve]]</f>
        <v>7.3607391862724747E-3</v>
      </c>
      <c r="AI92" s="29">
        <f>Table1[[#This Row],[user profit (death benefit - debt)]]*Table1[[#This Row],[Unconditional mortality NOW]]/Table1[[#This Row],[discouter with yield curve]]</f>
        <v>-6.0290121339187791E-3</v>
      </c>
      <c r="AJ92" s="29">
        <f>(1+$D$4)^(Table1[[#This Row],[age since issue]]-$A$23)</f>
        <v>15422.365251154823</v>
      </c>
      <c r="AK92" s="57">
        <f>Table1[[#This Row],[level premium marked up]]*Table1[[#This Row],[unconditional survival NOW]]</f>
        <v>2.1046403674197212E-4</v>
      </c>
      <c r="AL92" s="62">
        <f>Table1[[#This Row],[cumulative debt until t]]*Table1[[#This Row],[Unconditional mortality NOW]]</f>
        <v>5.1448112126850229E-2</v>
      </c>
      <c r="AM92" s="47">
        <f>Table1[[#This Row],[probablistic premium stream]]/Table1[[#This Row],[lender discounter]]</f>
        <v>1.3646676972989771E-8</v>
      </c>
      <c r="AN92" s="58">
        <f>Table1[[#This Row],[probablistic repay from borrower]]/Table1[[#This Row],[lender discounter]]</f>
        <v>3.3359417501150031E-6</v>
      </c>
      <c r="AO92" s="47">
        <f>(Table1[[#This Row],[probablistic repay from borrower]]-Table1[[#This Row],[probablistic premium stream]])/Table1[[#This Row],[lender discounter]]</f>
        <v>3.3222950731420133E-6</v>
      </c>
      <c r="AP92" s="46">
        <f>AP91*(1+$D$4)+ Table1[[#This Row],[level premium marked up]]</f>
        <v>235.40014822369659</v>
      </c>
      <c r="AQ92" s="58">
        <f>AP92*Table1[[#This Row],[Unconditional mortality NOW]]</f>
        <v>6.6577133642798962</v>
      </c>
      <c r="AR92" s="60">
        <f>Table1[[#This Row],[cumulative debt until t]]*Table1[[#This Row],[Unconditional mortality NOW]]</f>
        <v>5.1448112126850229E-2</v>
      </c>
      <c r="AS92" s="58">
        <f>Table1[[#This Row],[lender to pay cumulative probablistic undiscounted]]/Table1[[#This Row],[lender discounter]]</f>
        <v>4.316921079133026E-4</v>
      </c>
    </row>
    <row r="93" spans="1:45" s="3" customFormat="1">
      <c r="A93" s="3">
        <v>97</v>
      </c>
      <c r="B93" s="8">
        <v>3.2000000000000001E-2</v>
      </c>
      <c r="C93" s="3">
        <v>0</v>
      </c>
      <c r="D93" s="8">
        <v>3.2000000000000001E-2</v>
      </c>
      <c r="E93" s="12">
        <v>0.25731999999999999</v>
      </c>
      <c r="F93" s="13">
        <f>1-Table1[[#This Row],[one-year conditional mortality AT ISSUE]]</f>
        <v>0.74268000000000001</v>
      </c>
      <c r="G93" s="13">
        <f>PRODUCT(F$17:F93)</f>
        <v>3.4841289830105579E-2</v>
      </c>
      <c r="H93" s="13">
        <f>Table1[[#This Row],[one-year conditional survival AT ISSUE]]*(1-Table1[[#This Row],[Lapse rate]])</f>
        <v>0.71891424000000004</v>
      </c>
      <c r="I93" s="13">
        <f>PRODUCT(H$17:H93)</f>
        <v>1.9333720501167348E-3</v>
      </c>
      <c r="J93" s="13">
        <f>G92*Table1[[#This Row],[one-year conditional mortality AT ISSUE]]</f>
        <v>1.2071633407500899E-2</v>
      </c>
      <c r="K93" s="10">
        <f>I92*Table1[[#This Row],[one-year conditional mortality AT ISSUE]]</f>
        <v>6.9200923873206097E-4</v>
      </c>
      <c r="L93" s="3">
        <f t="shared" si="3"/>
        <v>1.9910109748700498E-3</v>
      </c>
      <c r="M93" s="44">
        <f>Table1[[#This Row],[Death benefit pay probability]]/Table1[[#This Row],[unconditional persistency AT ISSUE]]</f>
        <v>0.35792864528598012</v>
      </c>
      <c r="N93" s="44">
        <f>Table1[[#This Row],[one-year conditional mortality AT ISSUE]]/Table1[[#This Row],[one-year conditional persistency AT ISSUE]]</f>
        <v>0.35792864528598012</v>
      </c>
      <c r="O93" s="4">
        <f>(1+$B$14)^(Table1[[#This Row],[age since issue]]-$A$17)</f>
        <v>13.660499642414697</v>
      </c>
      <c r="P93" s="5">
        <f>(Table1[[#This Row],[level premium unmarked-up]]*Table1[[#This Row],[unconditional persistency AT ISSUE]]-Table1[[#This Row],[Death benefit pay probability]])</f>
        <v>-6.8815987376177152E-4</v>
      </c>
      <c r="Q93" s="4">
        <f>Table1[[#This Row],[Issuer profit with unmarked-up level premium]]/Table1[[#This Row],[Issuer discounter at issue]]</f>
        <v>-5.0375893398883686E-5</v>
      </c>
      <c r="R93" s="4">
        <f>(Table1[[#This Row],[variable premium unmarked up]]*Table1[[#This Row],[unconditional persistency AT ISSUE]]-Table1[[#This Row],[Death benefit pay probability]])</f>
        <v>0</v>
      </c>
      <c r="S93" s="6">
        <f>Table1[[#This Row],[level premium unmarked-up]]*(1+$B$15)</f>
        <v>1.9910109748700498E-3</v>
      </c>
      <c r="T93" s="6">
        <f>MIN(Table1[[#This Row],[variable premium unmarked up]]*(1+$B$15),1)</f>
        <v>0.35792864528598012</v>
      </c>
      <c r="U93" s="6">
        <f>Table1[[#This Row],[level premium marked up]]-Table1[[#This Row],[variable premium marked up]]</f>
        <v>-0.35593763431111008</v>
      </c>
      <c r="V93" s="6">
        <f>Table1[[#This Row],[additional cash]]+V92*(1+$D$2)</f>
        <v>-3.6555326608523391</v>
      </c>
      <c r="W93" s="12">
        <v>0.22778999999999999</v>
      </c>
      <c r="X93" s="13">
        <f>1-Table1[[#This Row],[one-year conditional mortality NOW]]</f>
        <v>0.77221000000000006</v>
      </c>
      <c r="Y93" s="49">
        <f>PRODUCT(X$17:X93)</f>
        <v>8.1628095406719642E-2</v>
      </c>
      <c r="Z93" s="13">
        <f>Table1[[#This Row],[one-year conditional survival NOW]]*(1-Table1[[#This Row],[Lapse rate]])</f>
        <v>0.74749927999999999</v>
      </c>
      <c r="AA93" s="13">
        <f>PRODUCT(Z$17:Z93)</f>
        <v>6.6236562607628795E-3</v>
      </c>
      <c r="AB93" s="50">
        <f>Y92*Table1[[#This Row],[one-year conditional mortality NOW]]</f>
        <v>2.4079024944894091E-2</v>
      </c>
      <c r="AC93" s="14">
        <v>1.9699999999999999E-2</v>
      </c>
      <c r="AD93" s="28">
        <f>(1+Table1[[#This Row],[Yield curve now]])^(Table1[[#This Row],[age since issue]]-$A$23)</f>
        <v>3.9180443819474786</v>
      </c>
      <c r="AE93" s="46">
        <f t="shared" si="4"/>
        <v>1.9282872668234912</v>
      </c>
      <c r="AF93" s="42">
        <f>1-Table1[[#This Row],[cumulative debt until t]]</f>
        <v>-0.92828726682349116</v>
      </c>
      <c r="AG93" s="46">
        <f>Table1[[#This Row],[cumulative debt until t]]*Table1[[#This Row],[Unconditional mortality NOW]]/Table1[[#This Row],[discouter with yield curve]]</f>
        <v>1.1850625636784046E-2</v>
      </c>
      <c r="AH93" s="48">
        <f>Table1[[#This Row],[Unconditional mortality NOW]]/Table1[[#This Row],[discouter with yield curve]]</f>
        <v>6.1456743715918609E-3</v>
      </c>
      <c r="AI93" s="29">
        <f>Table1[[#This Row],[user profit (death benefit - debt)]]*Table1[[#This Row],[Unconditional mortality NOW]]/Table1[[#This Row],[discouter with yield curve]]</f>
        <v>-5.7049512651921848E-3</v>
      </c>
      <c r="AJ93" s="29">
        <f>(1+$D$4)^(Table1[[#This Row],[age since issue]]-$A$23)</f>
        <v>17735.720038828043</v>
      </c>
      <c r="AK93" s="57">
        <f>Table1[[#This Row],[level premium marked up]]*Table1[[#This Row],[unconditional survival NOW]]</f>
        <v>1.6252243381251831E-4</v>
      </c>
      <c r="AL93" s="62">
        <f>Table1[[#This Row],[cumulative debt until t]]*Table1[[#This Row],[Unconditional mortality NOW]]</f>
        <v>4.6431277198764491E-2</v>
      </c>
      <c r="AM93" s="47">
        <f>Table1[[#This Row],[probablistic premium stream]]/Table1[[#This Row],[lender discounter]]</f>
        <v>9.163565587228203E-9</v>
      </c>
      <c r="AN93" s="58">
        <f>Table1[[#This Row],[probablistic repay from borrower]]/Table1[[#This Row],[lender discounter]]</f>
        <v>2.6179527584509965E-6</v>
      </c>
      <c r="AO93" s="47">
        <f>(Table1[[#This Row],[probablistic repay from borrower]]-Table1[[#This Row],[probablistic premium stream]])/Table1[[#This Row],[lender discounter]]</f>
        <v>2.6087891928637683E-6</v>
      </c>
      <c r="AP93" s="46">
        <f>AP92*(1+$D$4)+ Table1[[#This Row],[level premium marked up]]</f>
        <v>270.71216146822593</v>
      </c>
      <c r="AQ93" s="58">
        <f>AP93*Table1[[#This Row],[Unconditional mortality NOW]]</f>
        <v>6.518484888879609</v>
      </c>
      <c r="AR93" s="60">
        <f>Table1[[#This Row],[cumulative debt until t]]*Table1[[#This Row],[Unconditional mortality NOW]]</f>
        <v>4.6431277198764491E-2</v>
      </c>
      <c r="AS93" s="58">
        <f>Table1[[#This Row],[lender to pay cumulative probablistic undiscounted]]/Table1[[#This Row],[lender discounter]]</f>
        <v>3.6753426839220357E-4</v>
      </c>
    </row>
    <row r="94" spans="1:45" s="3" customFormat="1">
      <c r="A94" s="3">
        <v>98</v>
      </c>
      <c r="B94" s="8">
        <v>3.2000000000000001E-2</v>
      </c>
      <c r="C94" s="3">
        <v>0</v>
      </c>
      <c r="D94" s="8">
        <v>3.2000000000000001E-2</v>
      </c>
      <c r="E94" s="12">
        <v>0.27249000000000001</v>
      </c>
      <c r="F94" s="13">
        <f>1-Table1[[#This Row],[one-year conditional mortality AT ISSUE]]</f>
        <v>0.72750999999999999</v>
      </c>
      <c r="G94" s="13">
        <f>PRODUCT(F$17:F94)</f>
        <v>2.5347386764300109E-2</v>
      </c>
      <c r="H94" s="13">
        <f>Table1[[#This Row],[one-year conditional survival AT ISSUE]]*(1-Table1[[#This Row],[Lapse rate]])</f>
        <v>0.70422967999999997</v>
      </c>
      <c r="I94" s="13">
        <f>PRODUCT(H$17:H94)</f>
        <v>1.3615379801746521E-3</v>
      </c>
      <c r="J94" s="13">
        <f>G93*Table1[[#This Row],[one-year conditional mortality AT ISSUE]]</f>
        <v>9.4939030658054702E-3</v>
      </c>
      <c r="K94" s="10">
        <f>I93*Table1[[#This Row],[one-year conditional mortality AT ISSUE]]</f>
        <v>5.2682454993630912E-4</v>
      </c>
      <c r="L94" s="3">
        <f t="shared" si="3"/>
        <v>1.9910109748700498E-3</v>
      </c>
      <c r="M94" s="44">
        <f>Table1[[#This Row],[Death benefit pay probability]]/Table1[[#This Row],[unconditional persistency AT ISSUE]]</f>
        <v>0.38693342206196141</v>
      </c>
      <c r="N94" s="44">
        <f>Table1[[#This Row],[one-year conditional mortality AT ISSUE]]/Table1[[#This Row],[one-year conditional persistency AT ISSUE]]</f>
        <v>0.38693342206196141</v>
      </c>
      <c r="O94" s="4">
        <f>(1+$B$14)^(Table1[[#This Row],[age since issue]]-$A$17)</f>
        <v>14.13861712989921</v>
      </c>
      <c r="P94" s="5">
        <f>(Table1[[#This Row],[level premium unmarked-up]]*Table1[[#This Row],[unconditional persistency AT ISSUE]]-Table1[[#This Row],[Death benefit pay probability]])</f>
        <v>-5.2411371287507894E-4</v>
      </c>
      <c r="Q94" s="4">
        <f>Table1[[#This Row],[Issuer profit with unmarked-up level premium]]/Table1[[#This Row],[Issuer discounter at issue]]</f>
        <v>-3.7069658797586749E-5</v>
      </c>
      <c r="R94" s="4">
        <f>(Table1[[#This Row],[variable premium unmarked up]]*Table1[[#This Row],[unconditional persistency AT ISSUE]]-Table1[[#This Row],[Death benefit pay probability]])</f>
        <v>0</v>
      </c>
      <c r="S94" s="6">
        <f>Table1[[#This Row],[level premium unmarked-up]]*(1+$B$15)</f>
        <v>1.9910109748700498E-3</v>
      </c>
      <c r="T94" s="6">
        <f>MIN(Table1[[#This Row],[variable premium unmarked up]]*(1+$B$15),1)</f>
        <v>0.38693342206196141</v>
      </c>
      <c r="U94" s="6">
        <f>Table1[[#This Row],[level premium marked up]]-Table1[[#This Row],[variable premium marked up]]</f>
        <v>-0.38494241108709137</v>
      </c>
      <c r="V94" s="6">
        <f>Table1[[#This Row],[additional cash]]+V93*(1+$D$2)</f>
        <v>-4.0441306046002827</v>
      </c>
      <c r="W94" s="12">
        <v>0.24559</v>
      </c>
      <c r="X94" s="13">
        <f>1-Table1[[#This Row],[one-year conditional mortality NOW]]</f>
        <v>0.75441000000000003</v>
      </c>
      <c r="Y94" s="49">
        <f>PRODUCT(X$17:X94)</f>
        <v>6.1581051455783367E-2</v>
      </c>
      <c r="Z94" s="13">
        <f>Table1[[#This Row],[one-year conditional survival NOW]]*(1-Table1[[#This Row],[Lapse rate]])</f>
        <v>0.73026888000000001</v>
      </c>
      <c r="AA94" s="13">
        <f>PRODUCT(Z$17:Z94)</f>
        <v>4.837050039052296E-3</v>
      </c>
      <c r="AB94" s="50">
        <f>Y93*Table1[[#This Row],[one-year conditional mortality NOW]]</f>
        <v>2.0047043950936278E-2</v>
      </c>
      <c r="AC94" s="14">
        <v>1.9699999999999999E-2</v>
      </c>
      <c r="AD94" s="28">
        <f>(1+Table1[[#This Row],[Yield curve now]])^(Table1[[#This Row],[age since issue]]-$A$23)</f>
        <v>3.9952298562718438</v>
      </c>
      <c r="AE94" s="46">
        <f t="shared" si="4"/>
        <v>2.0439275261678853</v>
      </c>
      <c r="AF94" s="42">
        <f>1-Table1[[#This Row],[cumulative debt until t]]</f>
        <v>-1.0439275261678853</v>
      </c>
      <c r="AG94" s="46">
        <f>Table1[[#This Row],[cumulative debt until t]]*Table1[[#This Row],[Unconditional mortality NOW]]/Table1[[#This Row],[discouter with yield curve]]</f>
        <v>1.0255906774748543E-2</v>
      </c>
      <c r="AH94" s="48">
        <f>Table1[[#This Row],[Unconditional mortality NOW]]/Table1[[#This Row],[discouter with yield curve]]</f>
        <v>5.0177448287401453E-3</v>
      </c>
      <c r="AI94" s="29">
        <f>Table1[[#This Row],[user profit (death benefit - debt)]]*Table1[[#This Row],[Unconditional mortality NOW]]/Table1[[#This Row],[discouter with yield curve]]</f>
        <v>-5.2381619460083991E-3</v>
      </c>
      <c r="AJ94" s="29">
        <f>(1+$D$4)^(Table1[[#This Row],[age since issue]]-$A$23)</f>
        <v>20396.078044652248</v>
      </c>
      <c r="AK94" s="57">
        <f>Table1[[#This Row],[level premium marked up]]*Table1[[#This Row],[unconditional survival NOW]]</f>
        <v>1.2260854929250193E-4</v>
      </c>
      <c r="AL94" s="62">
        <f>Table1[[#This Row],[cumulative debt until t]]*Table1[[#This Row],[Unconditional mortality NOW]]</f>
        <v>4.0974704949616053E-2</v>
      </c>
      <c r="AM94" s="47">
        <f>Table1[[#This Row],[probablistic premium stream]]/Table1[[#This Row],[lender discounter]]</f>
        <v>6.0113787084007214E-9</v>
      </c>
      <c r="AN94" s="58">
        <f>Table1[[#This Row],[probablistic repay from borrower]]/Table1[[#This Row],[lender discounter]]</f>
        <v>2.0089501942438105E-6</v>
      </c>
      <c r="AO94" s="47">
        <f>(Table1[[#This Row],[probablistic repay from borrower]]-Table1[[#This Row],[probablistic premium stream]])/Table1[[#This Row],[lender discounter]]</f>
        <v>2.0029388155354097E-6</v>
      </c>
      <c r="AP94" s="46">
        <f>AP93*(1+$D$4)+ Table1[[#This Row],[level premium marked up]]</f>
        <v>311.32097669943465</v>
      </c>
      <c r="AQ94" s="58">
        <f>AP94*Table1[[#This Row],[Unconditional mortality NOW]]</f>
        <v>6.2410653027419754</v>
      </c>
      <c r="AR94" s="60">
        <f>Table1[[#This Row],[cumulative debt until t]]*Table1[[#This Row],[Unconditional mortality NOW]]</f>
        <v>4.0974704949616053E-2</v>
      </c>
      <c r="AS94" s="58">
        <f>Table1[[#This Row],[lender to pay cumulative probablistic undiscounted]]/Table1[[#This Row],[lender discounter]]</f>
        <v>3.0599340172550243E-4</v>
      </c>
    </row>
    <row r="95" spans="1:45" s="3" customFormat="1">
      <c r="A95" s="3">
        <v>99</v>
      </c>
      <c r="B95" s="8">
        <v>3.2000000000000001E-2</v>
      </c>
      <c r="C95" s="3">
        <v>0</v>
      </c>
      <c r="D95" s="8">
        <v>3.2000000000000001E-2</v>
      </c>
      <c r="E95" s="12">
        <v>0.28854999999999997</v>
      </c>
      <c r="F95" s="13">
        <f>1-Table1[[#This Row],[one-year conditional mortality AT ISSUE]]</f>
        <v>0.71145000000000003</v>
      </c>
      <c r="G95" s="13">
        <f>PRODUCT(F$17:F95)</f>
        <v>1.8033398313461312E-2</v>
      </c>
      <c r="H95" s="13">
        <f>Table1[[#This Row],[one-year conditional survival AT ISSUE]]*(1-Table1[[#This Row],[Lapse rate]])</f>
        <v>0.68868359999999995</v>
      </c>
      <c r="I95" s="13">
        <f>PRODUCT(H$17:H95)</f>
        <v>9.3766887772340796E-4</v>
      </c>
      <c r="J95" s="13">
        <f>G94*Table1[[#This Row],[one-year conditional mortality AT ISSUE]]</f>
        <v>7.3139884508387955E-3</v>
      </c>
      <c r="K95" s="10">
        <f>I94*Table1[[#This Row],[one-year conditional mortality AT ISSUE]]</f>
        <v>3.9287178417939583E-4</v>
      </c>
      <c r="L95" s="3">
        <f t="shared" si="3"/>
        <v>1.9910109748700498E-3</v>
      </c>
      <c r="M95" s="44">
        <f>Table1[[#This Row],[Death benefit pay probability]]/Table1[[#This Row],[unconditional persistency AT ISSUE]]</f>
        <v>0.41898776157875695</v>
      </c>
      <c r="N95" s="44">
        <f>Table1[[#This Row],[one-year conditional mortality AT ISSUE]]/Table1[[#This Row],[one-year conditional persistency AT ISSUE]]</f>
        <v>0.41898776157875689</v>
      </c>
      <c r="O95" s="4">
        <f>(1+$B$14)^(Table1[[#This Row],[age since issue]]-$A$17)</f>
        <v>14.633468729445683</v>
      </c>
      <c r="P95" s="5">
        <f>(Table1[[#This Row],[level premium unmarked-up]]*Table1[[#This Row],[unconditional persistency AT ISSUE]]-Table1[[#This Row],[Death benefit pay probability]])</f>
        <v>-3.9100487515305443E-4</v>
      </c>
      <c r="Q95" s="4">
        <f>Table1[[#This Row],[Issuer profit with unmarked-up level premium]]/Table1[[#This Row],[Issuer discounter at issue]]</f>
        <v>-2.6719903693528835E-5</v>
      </c>
      <c r="R95" s="4">
        <f>(Table1[[#This Row],[variable premium unmarked up]]*Table1[[#This Row],[unconditional persistency AT ISSUE]]-Table1[[#This Row],[Death benefit pay probability]])</f>
        <v>0</v>
      </c>
      <c r="S95" s="6">
        <f>Table1[[#This Row],[level premium unmarked-up]]*(1+$B$15)</f>
        <v>1.9910109748700498E-3</v>
      </c>
      <c r="T95" s="6">
        <f>MIN(Table1[[#This Row],[variable premium unmarked up]]*(1+$B$15),1)</f>
        <v>0.41898776157875695</v>
      </c>
      <c r="U95" s="6">
        <f>Table1[[#This Row],[level premium marked up]]-Table1[[#This Row],[variable premium marked up]]</f>
        <v>-0.41699675060388691</v>
      </c>
      <c r="V95" s="6">
        <f>Table1[[#This Row],[additional cash]]+V94*(1+$D$2)</f>
        <v>-4.465171485808769</v>
      </c>
      <c r="W95" s="12">
        <v>0.26495000000000002</v>
      </c>
      <c r="X95" s="13">
        <f>1-Table1[[#This Row],[one-year conditional mortality NOW]]</f>
        <v>0.73504999999999998</v>
      </c>
      <c r="Y95" s="49">
        <f>PRODUCT(X$17:X95)</f>
        <v>4.5265151872573565E-2</v>
      </c>
      <c r="Z95" s="13">
        <f>Table1[[#This Row],[one-year conditional survival NOW]]*(1-Table1[[#This Row],[Lapse rate]])</f>
        <v>0.71152839999999995</v>
      </c>
      <c r="AA95" s="13">
        <f>PRODUCT(Z$17:Z95)</f>
        <v>3.4416984750068173E-3</v>
      </c>
      <c r="AB95" s="50">
        <f>Y94*Table1[[#This Row],[one-year conditional mortality NOW]]</f>
        <v>1.6315899583209805E-2</v>
      </c>
      <c r="AC95" s="14">
        <v>1.9699999999999999E-2</v>
      </c>
      <c r="AD95" s="28">
        <f>(1+Table1[[#This Row],[Yield curve now]])^(Table1[[#This Row],[age since issue]]-$A$23)</f>
        <v>4.0739358844403997</v>
      </c>
      <c r="AE95" s="46">
        <f t="shared" si="4"/>
        <v>2.1663763522909192</v>
      </c>
      <c r="AF95" s="42">
        <f>1-Table1[[#This Row],[cumulative debt until t]]</f>
        <v>-1.1663763522909192</v>
      </c>
      <c r="AG95" s="46">
        <f>Table1[[#This Row],[cumulative debt until t]]*Table1[[#This Row],[Unconditional mortality NOW]]/Table1[[#This Row],[discouter with yield curve]]</f>
        <v>8.6762236878635129E-3</v>
      </c>
      <c r="AH95" s="48">
        <f>Table1[[#This Row],[Unconditional mortality NOW]]/Table1[[#This Row],[discouter with yield curve]]</f>
        <v>4.0049475607913197E-3</v>
      </c>
      <c r="AI95" s="29">
        <f>Table1[[#This Row],[user profit (death benefit - debt)]]*Table1[[#This Row],[Unconditional mortality NOW]]/Table1[[#This Row],[discouter with yield curve]]</f>
        <v>-4.6712761270721933E-3</v>
      </c>
      <c r="AJ95" s="29">
        <f>(1+$D$4)^(Table1[[#This Row],[age since issue]]-$A$23)</f>
        <v>23455.489751350084</v>
      </c>
      <c r="AK95" s="57">
        <f>Table1[[#This Row],[level premium marked up]]*Table1[[#This Row],[unconditional survival NOW]]</f>
        <v>9.0123414157453549E-5</v>
      </c>
      <c r="AL95" s="62">
        <f>Table1[[#This Row],[cumulative debt until t]]*Table1[[#This Row],[Unconditional mortality NOW]]</f>
        <v>3.5346379023418986E-2</v>
      </c>
      <c r="AM95" s="47">
        <f>Table1[[#This Row],[probablistic premium stream]]/Table1[[#This Row],[lender discounter]]</f>
        <v>3.8423164518347393E-9</v>
      </c>
      <c r="AN95" s="58">
        <f>Table1[[#This Row],[probablistic repay from borrower]]/Table1[[#This Row],[lender discounter]]</f>
        <v>1.5069554888055351E-6</v>
      </c>
      <c r="AO95" s="47">
        <f>(Table1[[#This Row],[probablistic repay from borrower]]-Table1[[#This Row],[probablistic premium stream]])/Table1[[#This Row],[lender discounter]]</f>
        <v>1.5031131723537004E-6</v>
      </c>
      <c r="AP95" s="46">
        <f>AP94*(1+$D$4)+ Table1[[#This Row],[level premium marked up]]</f>
        <v>358.02111421532464</v>
      </c>
      <c r="AQ95" s="58">
        <f>AP95*Table1[[#This Row],[Unconditional mortality NOW]]</f>
        <v>5.8414365482061257</v>
      </c>
      <c r="AR95" s="60">
        <f>Table1[[#This Row],[cumulative debt until t]]*Table1[[#This Row],[Unconditional mortality NOW]]</f>
        <v>3.5346379023418986E-2</v>
      </c>
      <c r="AS95" s="58">
        <f>Table1[[#This Row],[lender to pay cumulative probablistic undiscounted]]/Table1[[#This Row],[lender discounter]]</f>
        <v>2.4904346957282768E-4</v>
      </c>
    </row>
    <row r="96" spans="1:45" s="3" customFormat="1">
      <c r="A96" s="3">
        <v>100</v>
      </c>
      <c r="B96" s="8">
        <v>3.2000000000000001E-2</v>
      </c>
      <c r="C96" s="3">
        <v>0</v>
      </c>
      <c r="D96" s="8">
        <v>3.2000000000000001E-2</v>
      </c>
      <c r="E96" s="12">
        <v>0.30554999999999999</v>
      </c>
      <c r="F96" s="13">
        <f>1-Table1[[#This Row],[one-year conditional mortality AT ISSUE]]</f>
        <v>0.69445000000000001</v>
      </c>
      <c r="G96" s="13">
        <f>PRODUCT(F$17:F96)</f>
        <v>1.2523293458783207E-2</v>
      </c>
      <c r="H96" s="13">
        <f>Table1[[#This Row],[one-year conditional survival AT ISSUE]]*(1-Table1[[#This Row],[Lapse rate]])</f>
        <v>0.67222760000000004</v>
      </c>
      <c r="I96" s="13">
        <f>PRODUCT(H$17:H96)</f>
        <v>6.3032689926670001E-4</v>
      </c>
      <c r="J96" s="13">
        <f>G95*Table1[[#This Row],[one-year conditional mortality AT ISSUE]]</f>
        <v>5.5101048546781035E-3</v>
      </c>
      <c r="K96" s="10">
        <f>I95*Table1[[#This Row],[one-year conditional mortality AT ISSUE]]</f>
        <v>2.8650472558838731E-4</v>
      </c>
      <c r="L96" s="3">
        <f t="shared" si="3"/>
        <v>1.9910109748700498E-3</v>
      </c>
      <c r="M96" s="44">
        <f>Table1[[#This Row],[Death benefit pay probability]]/Table1[[#This Row],[unconditional persistency AT ISSUE]]</f>
        <v>0.45453355381421412</v>
      </c>
      <c r="N96" s="44">
        <f>Table1[[#This Row],[one-year conditional mortality AT ISSUE]]/Table1[[#This Row],[one-year conditional persistency AT ISSUE]]</f>
        <v>0.45453355381421406</v>
      </c>
      <c r="O96" s="4">
        <f>(1+$B$14)^(Table1[[#This Row],[age since issue]]-$A$17)</f>
        <v>15.145640134976279</v>
      </c>
      <c r="P96" s="5">
        <f>(Table1[[#This Row],[level premium unmarked-up]]*Table1[[#This Row],[unconditional persistency AT ISSUE]]-Table1[[#This Row],[Death benefit pay probability]])</f>
        <v>-2.8524973781419153E-4</v>
      </c>
      <c r="Q96" s="4">
        <f>Table1[[#This Row],[Issuer profit with unmarked-up level premium]]/Table1[[#This Row],[Issuer discounter at issue]]</f>
        <v>-1.8833785516629025E-5</v>
      </c>
      <c r="R96" s="4">
        <f>(Table1[[#This Row],[variable premium unmarked up]]*Table1[[#This Row],[unconditional persistency AT ISSUE]]-Table1[[#This Row],[Death benefit pay probability]])</f>
        <v>0</v>
      </c>
      <c r="S96" s="6">
        <f>Table1[[#This Row],[level premium unmarked-up]]*(1+$B$15)</f>
        <v>1.9910109748700498E-3</v>
      </c>
      <c r="T96" s="6">
        <f>MIN(Table1[[#This Row],[variable premium unmarked up]]*(1+$B$15),1)</f>
        <v>0.45453355381421412</v>
      </c>
      <c r="U96" s="6">
        <f>Table1[[#This Row],[level premium marked up]]-Table1[[#This Row],[variable premium marked up]]</f>
        <v>-0.45254254283934409</v>
      </c>
      <c r="V96" s="6">
        <f>Table1[[#This Row],[additional cash]]+V95*(1+$D$2)</f>
        <v>-4.9221792001339217</v>
      </c>
      <c r="W96" s="12">
        <v>0.28545999999999999</v>
      </c>
      <c r="X96" s="13">
        <f>1-Table1[[#This Row],[one-year conditional mortality NOW]]</f>
        <v>0.71453999999999995</v>
      </c>
      <c r="Y96" s="49">
        <f>PRODUCT(X$17:X96)</f>
        <v>3.2343761619028716E-2</v>
      </c>
      <c r="Z96" s="13">
        <f>Table1[[#This Row],[one-year conditional survival NOW]]*(1-Table1[[#This Row],[Lapse rate]])</f>
        <v>0.69167471999999997</v>
      </c>
      <c r="AA96" s="13">
        <f>PRODUCT(Z$17:Z96)</f>
        <v>2.3805358290247673E-3</v>
      </c>
      <c r="AB96" s="50">
        <f>Y95*Table1[[#This Row],[one-year conditional mortality NOW]]</f>
        <v>1.292139025354485E-2</v>
      </c>
      <c r="AC96" s="14">
        <v>1.9699999999999999E-2</v>
      </c>
      <c r="AD96" s="28">
        <f>(1+Table1[[#This Row],[Yield curve now]])^(Table1[[#This Row],[age since issue]]-$A$23)</f>
        <v>4.1541924213638755</v>
      </c>
      <c r="AE96" s="46">
        <f t="shared" si="4"/>
        <v>2.296034614075471</v>
      </c>
      <c r="AF96" s="42">
        <f>1-Table1[[#This Row],[cumulative debt until t]]</f>
        <v>-1.296034614075471</v>
      </c>
      <c r="AG96" s="46">
        <f>Table1[[#This Row],[cumulative debt until t]]*Table1[[#This Row],[Unconditional mortality NOW]]/Table1[[#This Row],[discouter with yield curve]]</f>
        <v>7.141691157959415E-3</v>
      </c>
      <c r="AH96" s="48">
        <f>Table1[[#This Row],[Unconditional mortality NOW]]/Table1[[#This Row],[discouter with yield curve]]</f>
        <v>3.1104457721057104E-3</v>
      </c>
      <c r="AI96" s="29">
        <f>Table1[[#This Row],[user profit (death benefit - debt)]]*Table1[[#This Row],[Unconditional mortality NOW]]/Table1[[#This Row],[discouter with yield curve]]</f>
        <v>-4.031245385853705E-3</v>
      </c>
      <c r="AJ96" s="29">
        <f>(1+$D$4)^(Table1[[#This Row],[age since issue]]-$A$23)</f>
        <v>26973.813214052592</v>
      </c>
      <c r="AK96" s="57">
        <f>Table1[[#This Row],[level premium marked up]]*Table1[[#This Row],[unconditional survival NOW]]</f>
        <v>6.4396784352066869E-5</v>
      </c>
      <c r="AL96" s="62">
        <f>Table1[[#This Row],[cumulative debt until t]]*Table1[[#This Row],[Unconditional mortality NOW]]</f>
        <v>2.9667959284116401E-2</v>
      </c>
      <c r="AM96" s="47">
        <f>Table1[[#This Row],[probablistic premium stream]]/Table1[[#This Row],[lender discounter]]</f>
        <v>2.3873815630382571E-9</v>
      </c>
      <c r="AN96" s="58">
        <f>Table1[[#This Row],[probablistic repay from borrower]]/Table1[[#This Row],[lender discounter]]</f>
        <v>1.0998800595482819E-6</v>
      </c>
      <c r="AO96" s="47">
        <f>(Table1[[#This Row],[probablistic repay from borrower]]-Table1[[#This Row],[probablistic premium stream]])/Table1[[#This Row],[lender discounter]]</f>
        <v>1.0974926779852438E-6</v>
      </c>
      <c r="AP96" s="46">
        <f>AP95*(1+$D$4)+ Table1[[#This Row],[level premium marked up]]</f>
        <v>411.72627235859818</v>
      </c>
      <c r="AQ96" s="58">
        <f>AP96*Table1[[#This Row],[Unconditional mortality NOW]]</f>
        <v>5.3200758427827424</v>
      </c>
      <c r="AR96" s="60">
        <f>Table1[[#This Row],[cumulative debt until t]]*Table1[[#This Row],[Unconditional mortality NOW]]</f>
        <v>2.9667959284116401E-2</v>
      </c>
      <c r="AS96" s="58">
        <f>Table1[[#This Row],[lender to pay cumulative probablistic undiscounted]]/Table1[[#This Row],[lender discounter]]</f>
        <v>1.97231136753447E-4</v>
      </c>
    </row>
    <row r="97" spans="1:45" s="3" customFormat="1">
      <c r="A97" s="3">
        <v>101</v>
      </c>
      <c r="B97" s="8">
        <v>3.2000000000000001E-2</v>
      </c>
      <c r="C97" s="3">
        <v>0</v>
      </c>
      <c r="D97" s="8">
        <v>3.2000000000000001E-2</v>
      </c>
      <c r="E97" s="12">
        <v>0.32353999999999999</v>
      </c>
      <c r="F97" s="13">
        <f>1-Table1[[#This Row],[one-year conditional mortality AT ISSUE]]</f>
        <v>0.67646000000000006</v>
      </c>
      <c r="G97" s="13">
        <f>PRODUCT(F$17:F97)</f>
        <v>8.4715070931284889E-3</v>
      </c>
      <c r="H97" s="13">
        <f>Table1[[#This Row],[one-year conditional survival AT ISSUE]]*(1-Table1[[#This Row],[Lapse rate]])</f>
        <v>0.65481328000000005</v>
      </c>
      <c r="I97" s="13">
        <f>PRODUCT(H$17:H97)</f>
        <v>4.1274642438105744E-4</v>
      </c>
      <c r="J97" s="13">
        <f>G96*Table1[[#This Row],[one-year conditional mortality AT ISSUE]]</f>
        <v>4.0517863656547191E-3</v>
      </c>
      <c r="K97" s="10">
        <f>I96*Table1[[#This Row],[one-year conditional mortality AT ISSUE]]</f>
        <v>2.0393596498874812E-4</v>
      </c>
      <c r="L97" s="3">
        <f t="shared" si="3"/>
        <v>1.9910109748700498E-3</v>
      </c>
      <c r="M97" s="44">
        <f>Table1[[#This Row],[Death benefit pay probability]]/Table1[[#This Row],[unconditional persistency AT ISSUE]]</f>
        <v>0.4940950495078536</v>
      </c>
      <c r="N97" s="44">
        <f>Table1[[#This Row],[one-year conditional mortality AT ISSUE]]/Table1[[#This Row],[one-year conditional persistency AT ISSUE]]</f>
        <v>0.49409504950785355</v>
      </c>
      <c r="O97" s="4">
        <f>(1+$B$14)^(Table1[[#This Row],[age since issue]]-$A$17)</f>
        <v>15.675737539700446</v>
      </c>
      <c r="P97" s="5">
        <f>(Table1[[#This Row],[level premium unmarked-up]]*Table1[[#This Row],[unconditional persistency AT ISSUE]]-Table1[[#This Row],[Death benefit pay probability]])</f>
        <v>-2.0311418232796708E-4</v>
      </c>
      <c r="Q97" s="4">
        <f>Table1[[#This Row],[Issuer profit with unmarked-up level premium]]/Table1[[#This Row],[Issuer discounter at issue]]</f>
        <v>-1.2957232909364497E-5</v>
      </c>
      <c r="R97" s="4">
        <f>(Table1[[#This Row],[variable premium unmarked up]]*Table1[[#This Row],[unconditional persistency AT ISSUE]]-Table1[[#This Row],[Death benefit pay probability]])</f>
        <v>0</v>
      </c>
      <c r="S97" s="6">
        <f>Table1[[#This Row],[level premium unmarked-up]]*(1+$B$15)</f>
        <v>1.9910109748700498E-3</v>
      </c>
      <c r="T97" s="6">
        <f>MIN(Table1[[#This Row],[variable premium unmarked up]]*(1+$B$15),1)</f>
        <v>0.4940950495078536</v>
      </c>
      <c r="U97" s="6">
        <f>Table1[[#This Row],[level premium marked up]]-Table1[[#This Row],[variable premium marked up]]</f>
        <v>-0.49210403853298357</v>
      </c>
      <c r="V97" s="6">
        <f>Table1[[#This Row],[additional cash]]+V96*(1+$D$2)</f>
        <v>-5.4192054178670386</v>
      </c>
      <c r="W97" s="12">
        <v>0.30669999999999997</v>
      </c>
      <c r="X97" s="13">
        <f>1-Table1[[#This Row],[one-year conditional mortality NOW]]</f>
        <v>0.69330000000000003</v>
      </c>
      <c r="Y97" s="49">
        <f>PRODUCT(X$17:X97)</f>
        <v>2.2423929930472611E-2</v>
      </c>
      <c r="Z97" s="13">
        <f>Table1[[#This Row],[one-year conditional survival NOW]]*(1-Table1[[#This Row],[Lapse rate]])</f>
        <v>0.6711144</v>
      </c>
      <c r="AA97" s="13">
        <f>PRODUCT(Z$17:Z97)</f>
        <v>1.5976118745744594E-3</v>
      </c>
      <c r="AB97" s="50">
        <f>Y96*Table1[[#This Row],[one-year conditional mortality NOW]]</f>
        <v>9.9198316885561067E-3</v>
      </c>
      <c r="AC97" s="14">
        <v>1.9699999999999999E-2</v>
      </c>
      <c r="AD97" s="28">
        <f>(1+Table1[[#This Row],[Yield curve now]])^(Table1[[#This Row],[age since issue]]-$A$23)</f>
        <v>4.2360300120647443</v>
      </c>
      <c r="AE97" s="46">
        <f t="shared" si="4"/>
        <v>2.4333267824144293</v>
      </c>
      <c r="AF97" s="42">
        <f>1-Table1[[#This Row],[cumulative debt until t]]</f>
        <v>-1.4333267824144293</v>
      </c>
      <c r="AG97" s="46">
        <f>Table1[[#This Row],[cumulative debt until t]]*Table1[[#This Row],[Unconditional mortality NOW]]/Table1[[#This Row],[discouter with yield curve]]</f>
        <v>5.6983052660293555E-3</v>
      </c>
      <c r="AH97" s="48">
        <f>Table1[[#This Row],[Unconditional mortality NOW]]/Table1[[#This Row],[discouter with yield curve]]</f>
        <v>2.3417755918402803E-3</v>
      </c>
      <c r="AI97" s="29">
        <f>Table1[[#This Row],[user profit (death benefit - debt)]]*Table1[[#This Row],[Unconditional mortality NOW]]/Table1[[#This Row],[discouter with yield curve]]</f>
        <v>-3.3565296741890748E-3</v>
      </c>
      <c r="AJ97" s="29">
        <f>(1+$D$4)^(Table1[[#This Row],[age since issue]]-$A$23)</f>
        <v>31019.885196160478</v>
      </c>
      <c r="AK97" s="57">
        <f>Table1[[#This Row],[level premium marked up]]*Table1[[#This Row],[unconditional survival NOW]]</f>
        <v>4.4646290591287963E-5</v>
      </c>
      <c r="AL97" s="62">
        <f>Table1[[#This Row],[cumulative debt until t]]*Table1[[#This Row],[Unconditional mortality NOW]]</f>
        <v>2.4138192124806928E-2</v>
      </c>
      <c r="AM97" s="47">
        <f>Table1[[#This Row],[probablistic premium stream]]/Table1[[#This Row],[lender discounter]]</f>
        <v>1.4392796849168904E-9</v>
      </c>
      <c r="AN97" s="58">
        <f>Table1[[#This Row],[probablistic repay from borrower]]/Table1[[#This Row],[lender discounter]]</f>
        <v>7.7815220695254739E-7</v>
      </c>
      <c r="AO97" s="47">
        <f>(Table1[[#This Row],[probablistic repay from borrower]]-Table1[[#This Row],[probablistic premium stream]])/Table1[[#This Row],[lender discounter]]</f>
        <v>7.7671292726763044E-7</v>
      </c>
      <c r="AP97" s="46">
        <f>AP96*(1+$D$4)+ Table1[[#This Row],[level premium marked up]]</f>
        <v>473.48720422336271</v>
      </c>
      <c r="AQ97" s="58">
        <f>AP97*Table1[[#This Row],[Unconditional mortality NOW]]</f>
        <v>4.6969133725807506</v>
      </c>
      <c r="AR97" s="60">
        <f>Table1[[#This Row],[cumulative debt until t]]*Table1[[#This Row],[Unconditional mortality NOW]]</f>
        <v>2.4138192124806928E-2</v>
      </c>
      <c r="AS97" s="58">
        <f>Table1[[#This Row],[lender to pay cumulative probablistic undiscounted]]/Table1[[#This Row],[lender discounter]]</f>
        <v>1.5141620747075222E-4</v>
      </c>
    </row>
    <row r="98" spans="1:45" s="3" customFormat="1">
      <c r="A98" s="3">
        <v>102</v>
      </c>
      <c r="B98" s="8">
        <v>3.2000000000000001E-2</v>
      </c>
      <c r="C98" s="3">
        <v>0</v>
      </c>
      <c r="D98" s="8">
        <v>3.2000000000000001E-2</v>
      </c>
      <c r="E98" s="12">
        <v>0.34258</v>
      </c>
      <c r="F98" s="13">
        <f>1-Table1[[#This Row],[one-year conditional mortality AT ISSUE]]</f>
        <v>0.65742</v>
      </c>
      <c r="G98" s="13">
        <f>PRODUCT(F$17:F98)</f>
        <v>5.5693381931645313E-3</v>
      </c>
      <c r="H98" s="13">
        <f>Table1[[#This Row],[one-year conditional survival AT ISSUE]]*(1-Table1[[#This Row],[Lapse rate]])</f>
        <v>0.63638255999999993</v>
      </c>
      <c r="I98" s="13">
        <f>PRODUCT(H$17:H98)</f>
        <v>2.626646261784637E-4</v>
      </c>
      <c r="J98" s="13">
        <f>G97*Table1[[#This Row],[one-year conditional mortality AT ISSUE]]</f>
        <v>2.9021688999639576E-3</v>
      </c>
      <c r="K98" s="10">
        <f>I97*Table1[[#This Row],[one-year conditional mortality AT ISSUE]]</f>
        <v>1.4139867006446265E-4</v>
      </c>
      <c r="L98" s="3">
        <f t="shared" si="3"/>
        <v>1.9910109748700498E-3</v>
      </c>
      <c r="M98" s="44">
        <f>Table1[[#This Row],[Death benefit pay probability]]/Table1[[#This Row],[unconditional persistency AT ISSUE]]</f>
        <v>0.53832399178255297</v>
      </c>
      <c r="N98" s="44">
        <f>Table1[[#This Row],[one-year conditional mortality AT ISSUE]]/Table1[[#This Row],[one-year conditional persistency AT ISSUE]]</f>
        <v>0.53832399178255297</v>
      </c>
      <c r="O98" s="4">
        <f>(1+$B$14)^(Table1[[#This Row],[age since issue]]-$A$17)</f>
        <v>16.224388353589962</v>
      </c>
      <c r="P98" s="5">
        <f>(Table1[[#This Row],[level premium unmarked-up]]*Table1[[#This Row],[unconditional persistency AT ISSUE]]-Table1[[#This Row],[Death benefit pay probability]])</f>
        <v>-1.4087570191103119E-4</v>
      </c>
      <c r="Q98" s="4">
        <f>Table1[[#This Row],[Issuer profit with unmarked-up level premium]]/Table1[[#This Row],[Issuer discounter at issue]]</f>
        <v>-8.6829591871708194E-6</v>
      </c>
      <c r="R98" s="4">
        <f>(Table1[[#This Row],[variable premium unmarked up]]*Table1[[#This Row],[unconditional persistency AT ISSUE]]-Table1[[#This Row],[Death benefit pay probability]])</f>
        <v>0</v>
      </c>
      <c r="S98" s="6">
        <f>Table1[[#This Row],[level premium unmarked-up]]*(1+$B$15)</f>
        <v>1.9910109748700498E-3</v>
      </c>
      <c r="T98" s="6">
        <f>MIN(Table1[[#This Row],[variable premium unmarked up]]*(1+$B$15),1)</f>
        <v>0.53832399178255297</v>
      </c>
      <c r="U98" s="6">
        <f>Table1[[#This Row],[level premium marked up]]-Table1[[#This Row],[variable premium marked up]]</f>
        <v>-0.53633298080768288</v>
      </c>
      <c r="V98" s="6">
        <f>Table1[[#This Row],[additional cash]]+V97*(1+$D$2)</f>
        <v>-5.960957604092588</v>
      </c>
      <c r="W98" s="12">
        <v>0.32824999999999999</v>
      </c>
      <c r="X98" s="13">
        <f>1-Table1[[#This Row],[one-year conditional mortality NOW]]</f>
        <v>0.67175000000000007</v>
      </c>
      <c r="Y98" s="49">
        <f>PRODUCT(X$17:X98)</f>
        <v>1.5063274930794977E-2</v>
      </c>
      <c r="Z98" s="13">
        <f>Table1[[#This Row],[one-year conditional survival NOW]]*(1-Table1[[#This Row],[Lapse rate]])</f>
        <v>0.650254</v>
      </c>
      <c r="AA98" s="13">
        <f>PRODUCT(Z$17:Z98)</f>
        <v>1.0388535118895405E-3</v>
      </c>
      <c r="AB98" s="50">
        <f>Y97*Table1[[#This Row],[one-year conditional mortality NOW]]</f>
        <v>7.3606549996776344E-3</v>
      </c>
      <c r="AC98" s="14">
        <v>1.9699999999999999E-2</v>
      </c>
      <c r="AD98" s="28">
        <f>(1+Table1[[#This Row],[Yield curve now]])^(Table1[[#This Row],[age since issue]]-$A$23)</f>
        <v>4.3194798033024195</v>
      </c>
      <c r="AE98" s="46">
        <f t="shared" si="4"/>
        <v>2.5787023198293437</v>
      </c>
      <c r="AF98" s="42">
        <f>1-Table1[[#This Row],[cumulative debt until t]]</f>
        <v>-1.5787023198293437</v>
      </c>
      <c r="AG98" s="46">
        <f>Table1[[#This Row],[cumulative debt until t]]*Table1[[#This Row],[Unconditional mortality NOW]]/Table1[[#This Row],[discouter with yield curve]]</f>
        <v>4.3942648160133699E-3</v>
      </c>
      <c r="AH98" s="48">
        <f>Table1[[#This Row],[Unconditional mortality NOW]]/Table1[[#This Row],[discouter with yield curve]]</f>
        <v>1.7040605199843998E-3</v>
      </c>
      <c r="AI98" s="29">
        <f>Table1[[#This Row],[user profit (death benefit - debt)]]*Table1[[#This Row],[Unconditional mortality NOW]]/Table1[[#This Row],[discouter with yield curve]]</f>
        <v>-2.6902042960289699E-3</v>
      </c>
      <c r="AJ98" s="29">
        <f>(1+$D$4)^(Table1[[#This Row],[age since issue]]-$A$23)</f>
        <v>35672.867975584551</v>
      </c>
      <c r="AK98" s="57">
        <f>Table1[[#This Row],[level premium marked up]]*Table1[[#This Row],[unconditional survival NOW]]</f>
        <v>2.9991145704697688E-5</v>
      </c>
      <c r="AL98" s="62">
        <f>Table1[[#This Row],[cumulative debt until t]]*Table1[[#This Row],[Unconditional mortality NOW]]</f>
        <v>1.8980938123132174E-2</v>
      </c>
      <c r="AM98" s="47">
        <f>Table1[[#This Row],[probablistic premium stream]]/Table1[[#This Row],[lender discounter]]</f>
        <v>8.4072706812427907E-10</v>
      </c>
      <c r="AN98" s="58">
        <f>Table1[[#This Row],[probablistic repay from borrower]]/Table1[[#This Row],[lender discounter]]</f>
        <v>5.3208332271246675E-7</v>
      </c>
      <c r="AO98" s="47">
        <f>(Table1[[#This Row],[probablistic repay from borrower]]-Table1[[#This Row],[probablistic premium stream]])/Table1[[#This Row],[lender discounter]]</f>
        <v>5.3124259564434244E-7</v>
      </c>
      <c r="AP98" s="46">
        <f>AP97*(1+$D$4)+ Table1[[#This Row],[level premium marked up]]</f>
        <v>544.51227586784194</v>
      </c>
      <c r="AQ98" s="58">
        <f>AP98*Table1[[#This Row],[Unconditional mortality NOW]]</f>
        <v>4.0079670057524783</v>
      </c>
      <c r="AR98" s="60">
        <f>Table1[[#This Row],[cumulative debt until t]]*Table1[[#This Row],[Unconditional mortality NOW]]</f>
        <v>1.8980938123132174E-2</v>
      </c>
      <c r="AS98" s="58">
        <f>Table1[[#This Row],[lender to pay cumulative probablistic undiscounted]]/Table1[[#This Row],[lender discounter]]</f>
        <v>1.1235337199396573E-4</v>
      </c>
    </row>
    <row r="99" spans="1:45" s="3" customFormat="1">
      <c r="A99" s="3">
        <v>103</v>
      </c>
      <c r="B99" s="8">
        <v>3.2000000000000001E-2</v>
      </c>
      <c r="C99" s="3">
        <v>0</v>
      </c>
      <c r="D99" s="8">
        <v>3.2000000000000001E-2</v>
      </c>
      <c r="E99" s="12">
        <v>0.36274000000000001</v>
      </c>
      <c r="F99" s="13">
        <f>1-Table1[[#This Row],[one-year conditional mortality AT ISSUE]]</f>
        <v>0.63725999999999994</v>
      </c>
      <c r="G99" s="13">
        <f>PRODUCT(F$17:F99)</f>
        <v>3.5491164569760288E-3</v>
      </c>
      <c r="H99" s="13">
        <f>Table1[[#This Row],[one-year conditional survival AT ISSUE]]*(1-Table1[[#This Row],[Lapse rate]])</f>
        <v>0.61686767999999992</v>
      </c>
      <c r="I99" s="13">
        <f>PRODUCT(H$17:H99)</f>
        <v>1.6202931856877615E-4</v>
      </c>
      <c r="J99" s="13">
        <f>G98*Table1[[#This Row],[one-year conditional mortality AT ISSUE]]</f>
        <v>2.0202217361885021E-3</v>
      </c>
      <c r="K99" s="10">
        <f>I98*Table1[[#This Row],[one-year conditional mortality AT ISSUE]]</f>
        <v>9.5278966499975923E-5</v>
      </c>
      <c r="L99" s="3">
        <f t="shared" si="3"/>
        <v>1.9910109748700498E-3</v>
      </c>
      <c r="M99" s="44">
        <f>Table1[[#This Row],[Death benefit pay probability]]/Table1[[#This Row],[unconditional persistency AT ISSUE]]</f>
        <v>0.58803534657546008</v>
      </c>
      <c r="N99" s="44">
        <f>Table1[[#This Row],[one-year conditional mortality AT ISSUE]]/Table1[[#This Row],[one-year conditional persistency AT ISSUE]]</f>
        <v>0.58803534657546019</v>
      </c>
      <c r="O99" s="4">
        <f>(1+$B$14)^(Table1[[#This Row],[age since issue]]-$A$17)</f>
        <v>16.79224194596561</v>
      </c>
      <c r="P99" s="5">
        <f>(Table1[[#This Row],[level premium unmarked-up]]*Table1[[#This Row],[unconditional persistency AT ISSUE]]-Table1[[#This Row],[Death benefit pay probability]])</f>
        <v>-9.4956364348454771E-5</v>
      </c>
      <c r="Q99" s="4">
        <f>Table1[[#This Row],[Issuer profit with unmarked-up level premium]]/Table1[[#This Row],[Issuer discounter at issue]]</f>
        <v>-5.6547758574469764E-6</v>
      </c>
      <c r="R99" s="4">
        <f>(Table1[[#This Row],[variable premium unmarked up]]*Table1[[#This Row],[unconditional persistency AT ISSUE]]-Table1[[#This Row],[Death benefit pay probability]])</f>
        <v>-1.3552527156068805E-20</v>
      </c>
      <c r="S99" s="6">
        <f>Table1[[#This Row],[level premium unmarked-up]]*(1+$B$15)</f>
        <v>1.9910109748700498E-3</v>
      </c>
      <c r="T99" s="6">
        <f>MIN(Table1[[#This Row],[variable premium unmarked up]]*(1+$B$15),1)</f>
        <v>0.58803534657546008</v>
      </c>
      <c r="U99" s="6">
        <f>Table1[[#This Row],[level premium marked up]]-Table1[[#This Row],[variable premium marked up]]</f>
        <v>-0.58604433560058999</v>
      </c>
      <c r="V99" s="6">
        <f>Table1[[#This Row],[additional cash]]+V98*(1+$D$2)</f>
        <v>-6.5529628972972702</v>
      </c>
      <c r="W99" s="12">
        <v>0.35002</v>
      </c>
      <c r="X99" s="13">
        <f>1-Table1[[#This Row],[one-year conditional mortality NOW]]</f>
        <v>0.64998</v>
      </c>
      <c r="Y99" s="49">
        <f>PRODUCT(X$17:X99)</f>
        <v>9.79082743951812E-3</v>
      </c>
      <c r="Z99" s="13">
        <f>Table1[[#This Row],[one-year conditional survival NOW]]*(1-Table1[[#This Row],[Lapse rate]])</f>
        <v>0.62918063999999996</v>
      </c>
      <c r="AA99" s="13">
        <f>PRODUCT(Z$17:Z99)</f>
        <v>6.5362651747690869E-4</v>
      </c>
      <c r="AB99" s="50">
        <f>Y98*Table1[[#This Row],[one-year conditional mortality NOW]]</f>
        <v>5.2724474912768582E-3</v>
      </c>
      <c r="AC99" s="14">
        <v>1.9699999999999999E-2</v>
      </c>
      <c r="AD99" s="28">
        <f>(1+Table1[[#This Row],[Yield curve now]])^(Table1[[#This Row],[age since issue]]-$A$23)</f>
        <v>4.4045735554274783</v>
      </c>
      <c r="AE99" s="46">
        <f t="shared" si="4"/>
        <v>2.7326371519058363</v>
      </c>
      <c r="AF99" s="42">
        <f>1-Table1[[#This Row],[cumulative debt until t]]</f>
        <v>-1.7326371519058363</v>
      </c>
      <c r="AG99" s="46">
        <f>Table1[[#This Row],[cumulative debt until t]]*Table1[[#This Row],[Unconditional mortality NOW]]/Table1[[#This Row],[discouter with yield curve]]</f>
        <v>3.2710739677356921E-3</v>
      </c>
      <c r="AH99" s="48">
        <f>Table1[[#This Row],[Unconditional mortality NOW]]/Table1[[#This Row],[discouter with yield curve]]</f>
        <v>1.1970392649658338E-3</v>
      </c>
      <c r="AI99" s="29">
        <f>Table1[[#This Row],[user profit (death benefit - debt)]]*Table1[[#This Row],[Unconditional mortality NOW]]/Table1[[#This Row],[discouter with yield curve]]</f>
        <v>-2.0740347027698581E-3</v>
      </c>
      <c r="AJ99" s="29">
        <f>(1+$D$4)^(Table1[[#This Row],[age since issue]]-$A$23)</f>
        <v>41023.798171922223</v>
      </c>
      <c r="AK99" s="57">
        <f>Table1[[#This Row],[level premium marked up]]*Table1[[#This Row],[unconditional survival NOW]]</f>
        <v>1.9493644885139404E-5</v>
      </c>
      <c r="AL99" s="62">
        <f>Table1[[#This Row],[cumulative debt until t]]*Table1[[#This Row],[Unconditional mortality NOW]]</f>
        <v>1.4407685896135865E-2</v>
      </c>
      <c r="AM99" s="47">
        <f>Table1[[#This Row],[probablistic premium stream]]/Table1[[#This Row],[lender discounter]]</f>
        <v>4.7517893890384273E-10</v>
      </c>
      <c r="AN99" s="58">
        <f>Table1[[#This Row],[probablistic repay from borrower]]/Table1[[#This Row],[lender discounter]]</f>
        <v>3.5120311960770295E-7</v>
      </c>
      <c r="AO99" s="47">
        <f>(Table1[[#This Row],[probablistic repay from borrower]]-Table1[[#This Row],[probablistic premium stream]])/Table1[[#This Row],[lender discounter]]</f>
        <v>3.5072794066879912E-7</v>
      </c>
      <c r="AP99" s="46">
        <f>AP98*(1+$D$4)+ Table1[[#This Row],[level premium marked up]]</f>
        <v>626.19110825899304</v>
      </c>
      <c r="AQ99" s="58">
        <f>AP99*Table1[[#This Row],[Unconditional mortality NOW]]</f>
        <v>3.3015597378000034</v>
      </c>
      <c r="AR99" s="60">
        <f>Table1[[#This Row],[cumulative debt until t]]*Table1[[#This Row],[Unconditional mortality NOW]]</f>
        <v>1.4407685896135865E-2</v>
      </c>
      <c r="AS99" s="58">
        <f>Table1[[#This Row],[lender to pay cumulative probablistic undiscounted]]/Table1[[#This Row],[lender discounter]]</f>
        <v>8.0479133696101268E-5</v>
      </c>
    </row>
    <row r="100" spans="1:45" s="3" customFormat="1">
      <c r="A100" s="3">
        <v>104</v>
      </c>
      <c r="B100" s="8">
        <v>3.2000000000000001E-2</v>
      </c>
      <c r="C100" s="3">
        <v>0</v>
      </c>
      <c r="D100" s="8">
        <v>3.2000000000000001E-2</v>
      </c>
      <c r="E100" s="12">
        <v>0.38406000000000001</v>
      </c>
      <c r="F100" s="13">
        <f>1-Table1[[#This Row],[one-year conditional mortality AT ISSUE]]</f>
        <v>0.61593999999999993</v>
      </c>
      <c r="G100" s="13">
        <f>PRODUCT(F$17:F100)</f>
        <v>2.1860427905098147E-3</v>
      </c>
      <c r="H100" s="13">
        <f>Table1[[#This Row],[one-year conditional survival AT ISSUE]]*(1-Table1[[#This Row],[Lapse rate]])</f>
        <v>0.59622991999999997</v>
      </c>
      <c r="I100" s="13">
        <f>PRODUCT(H$17:H100)</f>
        <v>9.660672764791591E-5</v>
      </c>
      <c r="J100" s="13">
        <f>G99*Table1[[#This Row],[one-year conditional mortality AT ISSUE]]</f>
        <v>1.3630736664662136E-3</v>
      </c>
      <c r="K100" s="10">
        <f>I99*Table1[[#This Row],[one-year conditional mortality AT ISSUE]]</f>
        <v>6.2228980089524175E-5</v>
      </c>
      <c r="L100" s="3">
        <f t="shared" si="3"/>
        <v>1.9910109748700498E-3</v>
      </c>
      <c r="M100" s="44">
        <f>Table1[[#This Row],[Death benefit pay probability]]/Table1[[#This Row],[unconditional persistency AT ISSUE]]</f>
        <v>0.64414747921405902</v>
      </c>
      <c r="N100" s="44">
        <f>Table1[[#This Row],[one-year conditional mortality AT ISSUE]]/Table1[[#This Row],[one-year conditional persistency AT ISSUE]]</f>
        <v>0.6441474792140589</v>
      </c>
      <c r="O100" s="4">
        <f>(1+$B$14)^(Table1[[#This Row],[age since issue]]-$A$17)</f>
        <v>17.379970414074403</v>
      </c>
      <c r="P100" s="5">
        <f>(Table1[[#This Row],[level premium unmarked-up]]*Table1[[#This Row],[unconditional persistency AT ISSUE]]-Table1[[#This Row],[Death benefit pay probability]])</f>
        <v>-6.2036635034530888E-5</v>
      </c>
      <c r="Q100" s="4">
        <f>Table1[[#This Row],[Issuer profit with unmarked-up level premium]]/Table1[[#This Row],[Issuer discounter at issue]]</f>
        <v>-3.5694327180380728E-6</v>
      </c>
      <c r="R100" s="4">
        <f>(Table1[[#This Row],[variable premium unmarked up]]*Table1[[#This Row],[unconditional persistency AT ISSUE]]-Table1[[#This Row],[Death benefit pay probability]])</f>
        <v>0</v>
      </c>
      <c r="S100" s="6">
        <f>Table1[[#This Row],[level premium unmarked-up]]*(1+$B$15)</f>
        <v>1.9910109748700498E-3</v>
      </c>
      <c r="T100" s="6">
        <f>MIN(Table1[[#This Row],[variable premium unmarked up]]*(1+$B$15),1)</f>
        <v>0.64414747921405902</v>
      </c>
      <c r="U100" s="6">
        <f>Table1[[#This Row],[level premium marked up]]-Table1[[#This Row],[variable premium marked up]]</f>
        <v>-0.64215646823918893</v>
      </c>
      <c r="V100" s="6">
        <f>Table1[[#This Row],[additional cash]]+V99*(1+$D$2)</f>
        <v>-7.2016723284337552</v>
      </c>
      <c r="W100" s="12">
        <v>0.37164999999999998</v>
      </c>
      <c r="X100" s="13">
        <f>1-Table1[[#This Row],[one-year conditional mortality NOW]]</f>
        <v>0.62834999999999996</v>
      </c>
      <c r="Y100" s="49">
        <f>PRODUCT(X$17:X100)</f>
        <v>6.1520664216212105E-3</v>
      </c>
      <c r="Z100" s="13">
        <f>Table1[[#This Row],[one-year conditional survival NOW]]*(1-Table1[[#This Row],[Lapse rate]])</f>
        <v>0.60824279999999997</v>
      </c>
      <c r="AA100" s="13">
        <f>PRODUCT(Z$17:Z100)</f>
        <v>3.9756362314440384E-4</v>
      </c>
      <c r="AB100" s="50">
        <f>Y99*Table1[[#This Row],[one-year conditional mortality NOW]]</f>
        <v>3.6387610178969091E-3</v>
      </c>
      <c r="AC100" s="14">
        <v>1.9699999999999999E-2</v>
      </c>
      <c r="AD100" s="28">
        <f>(1+Table1[[#This Row],[Yield curve now]])^(Table1[[#This Row],[age since issue]]-$A$23)</f>
        <v>4.4913436544693992</v>
      </c>
      <c r="AE100" s="46">
        <f t="shared" si="4"/>
        <v>2.8956352253629118</v>
      </c>
      <c r="AF100" s="42">
        <f>1-Table1[[#This Row],[cumulative debt until t]]</f>
        <v>-1.8956352253629118</v>
      </c>
      <c r="AG100" s="46">
        <f>Table1[[#This Row],[cumulative debt until t]]*Table1[[#This Row],[Unconditional mortality NOW]]/Table1[[#This Row],[discouter with yield curve]]</f>
        <v>2.3459626763618169E-3</v>
      </c>
      <c r="AH100" s="48">
        <f>Table1[[#This Row],[Unconditional mortality NOW]]/Table1[[#This Row],[discouter with yield curve]]</f>
        <v>8.1017203265573473E-4</v>
      </c>
      <c r="AI100" s="29">
        <f>Table1[[#This Row],[user profit (death benefit - debt)]]*Table1[[#This Row],[Unconditional mortality NOW]]/Table1[[#This Row],[discouter with yield curve]]</f>
        <v>-1.5357906437060821E-3</v>
      </c>
      <c r="AJ100" s="29">
        <f>(1+$D$4)^(Table1[[#This Row],[age since issue]]-$A$23)</f>
        <v>47177.367897710559</v>
      </c>
      <c r="AK100" s="57">
        <f>Table1[[#This Row],[level premium marked up]]*Table1[[#This Row],[unconditional survival NOW]]</f>
        <v>1.2248831763577346E-5</v>
      </c>
      <c r="AL100" s="62">
        <f>Table1[[#This Row],[cumulative debt until t]]*Table1[[#This Row],[Unconditional mortality NOW]]</f>
        <v>1.0536524580099694E-2</v>
      </c>
      <c r="AM100" s="47">
        <f>Table1[[#This Row],[probablistic premium stream]]/Table1[[#This Row],[lender discounter]]</f>
        <v>2.5963364022628657E-10</v>
      </c>
      <c r="AN100" s="58">
        <f>Table1[[#This Row],[probablistic repay from borrower]]/Table1[[#This Row],[lender discounter]]</f>
        <v>2.2333854239059857E-7</v>
      </c>
      <c r="AO100" s="47">
        <f>(Table1[[#This Row],[probablistic repay from borrower]]-Table1[[#This Row],[probablistic premium stream]])/Table1[[#This Row],[lender discounter]]</f>
        <v>2.2307890875037229E-7</v>
      </c>
      <c r="AP100" s="46">
        <f>AP99*(1+$D$4)+ Table1[[#This Row],[level premium marked up]]</f>
        <v>720.12176550881679</v>
      </c>
      <c r="AQ100" s="58">
        <f>AP100*Table1[[#This Row],[Unconditional mortality NOW]]</f>
        <v>2.6203510084725816</v>
      </c>
      <c r="AR100" s="60">
        <f>Table1[[#This Row],[cumulative debt until t]]*Table1[[#This Row],[Unconditional mortality NOW]]</f>
        <v>1.0536524580099694E-2</v>
      </c>
      <c r="AS100" s="58">
        <f>Table1[[#This Row],[lender to pay cumulative probablistic undiscounted]]/Table1[[#This Row],[lender discounter]]</f>
        <v>5.5542543495728658E-5</v>
      </c>
    </row>
    <row r="101" spans="1:45" s="3" customFormat="1">
      <c r="A101" s="3">
        <v>105</v>
      </c>
      <c r="B101" s="8">
        <v>3.2000000000000001E-2</v>
      </c>
      <c r="C101" s="3">
        <v>0</v>
      </c>
      <c r="D101" s="8">
        <v>3.2000000000000001E-2</v>
      </c>
      <c r="E101" s="12">
        <v>0.40662999999999999</v>
      </c>
      <c r="F101" s="13">
        <f>1-Table1[[#This Row],[one-year conditional mortality AT ISSUE]]</f>
        <v>0.59336999999999995</v>
      </c>
      <c r="G101" s="13">
        <f>PRODUCT(F$17:F101)</f>
        <v>1.2971322106048087E-3</v>
      </c>
      <c r="H101" s="13">
        <f>Table1[[#This Row],[one-year conditional survival AT ISSUE]]*(1-Table1[[#This Row],[Lapse rate]])</f>
        <v>0.57438215999999997</v>
      </c>
      <c r="I101" s="13">
        <f>PRODUCT(H$17:H101)</f>
        <v>5.5489180896941656E-5</v>
      </c>
      <c r="J101" s="13">
        <f>G100*Table1[[#This Row],[one-year conditional mortality AT ISSUE]]</f>
        <v>8.8891057990500599E-4</v>
      </c>
      <c r="K101" s="10">
        <f>I100*Table1[[#This Row],[one-year conditional mortality AT ISSUE]]</f>
        <v>3.9283193663472049E-5</v>
      </c>
      <c r="L101" s="3">
        <f t="shared" si="3"/>
        <v>1.9910109748700498E-3</v>
      </c>
      <c r="M101" s="44">
        <f>Table1[[#This Row],[Death benefit pay probability]]/Table1[[#This Row],[unconditional persistency AT ISSUE]]</f>
        <v>0.70794329684612778</v>
      </c>
      <c r="N101" s="44">
        <f>Table1[[#This Row],[one-year conditional mortality AT ISSUE]]/Table1[[#This Row],[one-year conditional persistency AT ISSUE]]</f>
        <v>0.70794329684612767</v>
      </c>
      <c r="O101" s="4">
        <f>(1+$B$14)^(Table1[[#This Row],[age since issue]]-$A$17)</f>
        <v>17.988269378567004</v>
      </c>
      <c r="P101" s="5">
        <f>(Table1[[#This Row],[level premium unmarked-up]]*Table1[[#This Row],[unconditional persistency AT ISSUE]]-Table1[[#This Row],[Death benefit pay probability]])</f>
        <v>-3.9172714095319691E-5</v>
      </c>
      <c r="Q101" s="4">
        <f>Table1[[#This Row],[Issuer profit with unmarked-up level premium]]/Table1[[#This Row],[Issuer discounter at issue]]</f>
        <v>-2.1776810915447998E-6</v>
      </c>
      <c r="R101" s="4">
        <f>(Table1[[#This Row],[variable premium unmarked up]]*Table1[[#This Row],[unconditional persistency AT ISSUE]]-Table1[[#This Row],[Death benefit pay probability]])</f>
        <v>0</v>
      </c>
      <c r="S101" s="6">
        <f>Table1[[#This Row],[level premium unmarked-up]]*(1+$B$15)</f>
        <v>1.9910109748700498E-3</v>
      </c>
      <c r="T101" s="6">
        <f>MIN(Table1[[#This Row],[variable premium unmarked up]]*(1+$B$15),1)</f>
        <v>0.70794329684612778</v>
      </c>
      <c r="U101" s="6">
        <f>Table1[[#This Row],[level premium marked up]]-Table1[[#This Row],[variable premium marked up]]</f>
        <v>-0.70595228587125769</v>
      </c>
      <c r="V101" s="6">
        <f>Table1[[#This Row],[additional cash]]+V100*(1+$D$2)</f>
        <v>-7.9148262866334456</v>
      </c>
      <c r="W101" s="12">
        <v>0.39278999999999997</v>
      </c>
      <c r="X101" s="13">
        <f>1-Table1[[#This Row],[one-year conditional mortality NOW]]</f>
        <v>0.60721000000000003</v>
      </c>
      <c r="Y101" s="49">
        <f>PRODUCT(X$17:X101)</f>
        <v>3.7355962518726155E-3</v>
      </c>
      <c r="Z101" s="13">
        <f>Table1[[#This Row],[one-year conditional survival NOW]]*(1-Table1[[#This Row],[Lapse rate]])</f>
        <v>0.58777928000000002</v>
      </c>
      <c r="AA101" s="13">
        <f>PRODUCT(Z$17:Z101)</f>
        <v>2.3367966016600903E-4</v>
      </c>
      <c r="AB101" s="50">
        <f>Y100*Table1[[#This Row],[one-year conditional mortality NOW]]</f>
        <v>2.4164701697485949E-3</v>
      </c>
      <c r="AC101" s="14">
        <v>1.9699999999999999E-2</v>
      </c>
      <c r="AD101" s="28">
        <f>(1+Table1[[#This Row],[Yield curve now]])^(Table1[[#This Row],[age since issue]]-$A$23)</f>
        <v>4.5798231244624468</v>
      </c>
      <c r="AE101" s="46">
        <f t="shared" si="4"/>
        <v>3.0682301578569167</v>
      </c>
      <c r="AF101" s="42">
        <f>1-Table1[[#This Row],[cumulative debt until t]]</f>
        <v>-2.0682301578569167</v>
      </c>
      <c r="AG101" s="46">
        <f>Table1[[#This Row],[cumulative debt until t]]*Table1[[#This Row],[Unconditional mortality NOW]]/Table1[[#This Row],[discouter with yield curve]]</f>
        <v>1.618902400571312E-3</v>
      </c>
      <c r="AH101" s="48">
        <f>Table1[[#This Row],[Unconditional mortality NOW]]/Table1[[#This Row],[discouter with yield curve]]</f>
        <v>5.2763395093609127E-4</v>
      </c>
      <c r="AI101" s="29">
        <f>Table1[[#This Row],[user profit (death benefit - debt)]]*Table1[[#This Row],[Unconditional mortality NOW]]/Table1[[#This Row],[discouter with yield curve]]</f>
        <v>-1.0912684496352208E-3</v>
      </c>
      <c r="AJ101" s="29">
        <f>(1+$D$4)^(Table1[[#This Row],[age since issue]]-$A$23)</f>
        <v>54253.973082367142</v>
      </c>
      <c r="AK101" s="57">
        <f>Table1[[#This Row],[level premium marked up]]*Table1[[#This Row],[unconditional survival NOW]]</f>
        <v>7.4376131351618007E-6</v>
      </c>
      <c r="AL101" s="62">
        <f>Table1[[#This Row],[cumulative debt until t]]*Table1[[#This Row],[Unconditional mortality NOW]]</f>
        <v>7.414286650384262E-3</v>
      </c>
      <c r="AM101" s="47">
        <f>Table1[[#This Row],[probablistic premium stream]]/Table1[[#This Row],[lender discounter]]</f>
        <v>1.3708881972330739E-10</v>
      </c>
      <c r="AN101" s="58">
        <f>Table1[[#This Row],[probablistic repay from borrower]]/Table1[[#This Row],[lender discounter]]</f>
        <v>1.3665886992512164E-7</v>
      </c>
      <c r="AO101" s="47">
        <f>(Table1[[#This Row],[probablistic repay from borrower]]-Table1[[#This Row],[probablistic premium stream]])/Table1[[#This Row],[lender discounter]]</f>
        <v>1.3652178110539833E-7</v>
      </c>
      <c r="AP101" s="46">
        <f>AP100*(1+$D$4)+ Table1[[#This Row],[level premium marked up]]</f>
        <v>828.14202134611412</v>
      </c>
      <c r="AQ101" s="58">
        <f>AP101*Table1[[#This Row],[Unconditional mortality NOW]]</f>
        <v>2.0011804908981889</v>
      </c>
      <c r="AR101" s="60">
        <f>Table1[[#This Row],[cumulative debt until t]]*Table1[[#This Row],[Unconditional mortality NOW]]</f>
        <v>7.414286650384262E-3</v>
      </c>
      <c r="AS101" s="58">
        <f>Table1[[#This Row],[lender to pay cumulative probablistic undiscounted]]/Table1[[#This Row],[lender discounter]]</f>
        <v>3.6885418287432011E-5</v>
      </c>
    </row>
    <row r="102" spans="1:45" s="3" customFormat="1">
      <c r="A102" s="3">
        <v>106</v>
      </c>
      <c r="B102" s="8">
        <v>3.2000000000000001E-2</v>
      </c>
      <c r="C102" s="3">
        <v>0</v>
      </c>
      <c r="D102" s="8">
        <v>3.2000000000000001E-2</v>
      </c>
      <c r="E102" s="12">
        <v>0.43020999999999998</v>
      </c>
      <c r="F102" s="13">
        <f>1-Table1[[#This Row],[one-year conditional mortality AT ISSUE]]</f>
        <v>0.56979000000000002</v>
      </c>
      <c r="G102" s="13">
        <f>PRODUCT(F$17:F102)</f>
        <v>7.3909296228051396E-4</v>
      </c>
      <c r="H102" s="13">
        <f>Table1[[#This Row],[one-year conditional survival AT ISSUE]]*(1-Table1[[#This Row],[Lapse rate]])</f>
        <v>0.55155672</v>
      </c>
      <c r="I102" s="13">
        <f>PRODUCT(H$17:H102)</f>
        <v>3.06054306110038E-5</v>
      </c>
      <c r="J102" s="13">
        <f>G101*Table1[[#This Row],[one-year conditional mortality AT ISSUE]]</f>
        <v>5.580392483242947E-4</v>
      </c>
      <c r="K102" s="10">
        <f>I101*Table1[[#This Row],[one-year conditional mortality AT ISSUE]]</f>
        <v>2.3872000513673269E-5</v>
      </c>
      <c r="L102" s="3">
        <f t="shared" si="3"/>
        <v>1.9910109748700498E-3</v>
      </c>
      <c r="M102" s="44">
        <f>Table1[[#This Row],[Death benefit pay probability]]/Table1[[#This Row],[unconditional persistency AT ISSUE]]</f>
        <v>0.77999230976643696</v>
      </c>
      <c r="N102" s="44">
        <f>Table1[[#This Row],[one-year conditional mortality AT ISSUE]]/Table1[[#This Row],[one-year conditional persistency AT ISSUE]]</f>
        <v>0.77999230976643708</v>
      </c>
      <c r="O102" s="4">
        <f>(1+$B$14)^(Table1[[#This Row],[age since issue]]-$A$17)</f>
        <v>18.617858806816848</v>
      </c>
      <c r="P102" s="5">
        <f>(Table1[[#This Row],[level premium unmarked-up]]*Table1[[#This Row],[unconditional persistency AT ISSUE]]-Table1[[#This Row],[Death benefit pay probability]])</f>
        <v>-2.3811064765436137E-5</v>
      </c>
      <c r="Q102" s="4">
        <f>Table1[[#This Row],[Issuer profit with unmarked-up level premium]]/Table1[[#This Row],[Issuer discounter at issue]]</f>
        <v>-1.278936800010419E-6</v>
      </c>
      <c r="R102" s="4">
        <f>(Table1[[#This Row],[variable premium unmarked up]]*Table1[[#This Row],[unconditional persistency AT ISSUE]]-Table1[[#This Row],[Death benefit pay probability]])</f>
        <v>0</v>
      </c>
      <c r="S102" s="6">
        <f>Table1[[#This Row],[level premium unmarked-up]]*(1+$B$15)</f>
        <v>1.9910109748700498E-3</v>
      </c>
      <c r="T102" s="6">
        <f>MIN(Table1[[#This Row],[variable premium unmarked up]]*(1+$B$15),1)</f>
        <v>0.77999230976643696</v>
      </c>
      <c r="U102" s="6">
        <f>Table1[[#This Row],[level premium marked up]]-Table1[[#This Row],[variable premium marked up]]</f>
        <v>-0.77800129879156688</v>
      </c>
      <c r="V102" s="6">
        <f>Table1[[#This Row],[additional cash]]+V101*(1+$D$2)</f>
        <v>-8.7007424117116443</v>
      </c>
      <c r="W102" s="12">
        <v>0.41304999999999997</v>
      </c>
      <c r="X102" s="13">
        <f>1-Table1[[#This Row],[one-year conditional mortality NOW]]</f>
        <v>0.58695000000000008</v>
      </c>
      <c r="Y102" s="49">
        <f>PRODUCT(X$17:X102)</f>
        <v>2.1926082200366321E-3</v>
      </c>
      <c r="Z102" s="13">
        <f>Table1[[#This Row],[one-year conditional survival NOW]]*(1-Table1[[#This Row],[Lapse rate]])</f>
        <v>0.56816760000000011</v>
      </c>
      <c r="AA102" s="13">
        <f>PRODUCT(Z$17:Z102)</f>
        <v>1.3276921168533699E-4</v>
      </c>
      <c r="AB102" s="50">
        <f>Y101*Table1[[#This Row],[one-year conditional mortality NOW]]</f>
        <v>1.5429880318359838E-3</v>
      </c>
      <c r="AC102" s="14">
        <v>1.9699999999999999E-2</v>
      </c>
      <c r="AD102" s="28">
        <f>(1+Table1[[#This Row],[Yield curve now]])^(Table1[[#This Row],[age since issue]]-$A$23)</f>
        <v>4.6700456400143562</v>
      </c>
      <c r="AE102" s="46">
        <f t="shared" si="4"/>
        <v>3.2509869849212238</v>
      </c>
      <c r="AF102" s="42">
        <f>1-Table1[[#This Row],[cumulative debt until t]]</f>
        <v>-2.2509869849212238</v>
      </c>
      <c r="AG102" s="46">
        <f>Table1[[#This Row],[cumulative debt until t]]*Table1[[#This Row],[Unconditional mortality NOW]]/Table1[[#This Row],[discouter with yield curve]]</f>
        <v>1.0741295473447618E-3</v>
      </c>
      <c r="AH102" s="48">
        <f>Table1[[#This Row],[Unconditional mortality NOW]]/Table1[[#This Row],[discouter with yield curve]]</f>
        <v>3.3040106045542644E-4</v>
      </c>
      <c r="AI102" s="29">
        <f>Table1[[#This Row],[user profit (death benefit - debt)]]*Table1[[#This Row],[Unconditional mortality NOW]]/Table1[[#This Row],[discouter with yield curve]]</f>
        <v>-7.4372848688933531E-4</v>
      </c>
      <c r="AJ102" s="29">
        <f>(1+$D$4)^(Table1[[#This Row],[age since issue]]-$A$23)</f>
        <v>62392.0690447222</v>
      </c>
      <c r="AK102" s="57">
        <f>Table1[[#This Row],[level premium marked up]]*Table1[[#This Row],[unconditional survival NOW]]</f>
        <v>4.3655070296832193E-6</v>
      </c>
      <c r="AL102" s="62">
        <f>Table1[[#This Row],[cumulative debt until t]]*Table1[[#This Row],[Unconditional mortality NOW]]</f>
        <v>5.0162340093879987E-3</v>
      </c>
      <c r="AM102" s="47">
        <f>Table1[[#This Row],[probablistic premium stream]]/Table1[[#This Row],[lender discounter]]</f>
        <v>6.9968941510082858E-11</v>
      </c>
      <c r="AN102" s="58">
        <f>Table1[[#This Row],[probablistic repay from borrower]]/Table1[[#This Row],[lender discounter]]</f>
        <v>8.0398584085942031E-8</v>
      </c>
      <c r="AO102" s="47">
        <f>(Table1[[#This Row],[probablistic repay from borrower]]-Table1[[#This Row],[probablistic premium stream]])/Table1[[#This Row],[lender discounter]]</f>
        <v>8.0328615144431953E-8</v>
      </c>
      <c r="AP102" s="46">
        <f>AP101*(1+$D$4)+ Table1[[#This Row],[level premium marked up]]</f>
        <v>952.36531555900604</v>
      </c>
      <c r="AQ102" s="58">
        <f>AP102*Table1[[#This Row],[Unconditional mortality NOW]]</f>
        <v>1.4694882838432464</v>
      </c>
      <c r="AR102" s="60">
        <f>Table1[[#This Row],[cumulative debt until t]]*Table1[[#This Row],[Unconditional mortality NOW]]</f>
        <v>5.0162340093879987E-3</v>
      </c>
      <c r="AS102" s="58">
        <f>Table1[[#This Row],[lender to pay cumulative probablistic undiscounted]]/Table1[[#This Row],[lender discounter]]</f>
        <v>2.3552485217150395E-5</v>
      </c>
    </row>
    <row r="103" spans="1:45" s="3" customFormat="1">
      <c r="A103" s="3">
        <v>107</v>
      </c>
      <c r="B103" s="8">
        <v>3.2000000000000001E-2</v>
      </c>
      <c r="C103" s="3">
        <v>0</v>
      </c>
      <c r="D103" s="8">
        <v>3.2000000000000001E-2</v>
      </c>
      <c r="E103" s="12">
        <v>0.45516000000000001</v>
      </c>
      <c r="F103" s="13">
        <f>1-Table1[[#This Row],[one-year conditional mortality AT ISSUE]]</f>
        <v>0.54483999999999999</v>
      </c>
      <c r="G103" s="13">
        <f>PRODUCT(F$17:F103)</f>
        <v>4.0268740956891523E-4</v>
      </c>
      <c r="H103" s="13">
        <f>Table1[[#This Row],[one-year conditional survival AT ISSUE]]*(1-Table1[[#This Row],[Lapse rate]])</f>
        <v>0.52740511999999995</v>
      </c>
      <c r="I103" s="13">
        <f>PRODUCT(H$17:H103)</f>
        <v>1.6141460804048131E-5</v>
      </c>
      <c r="J103" s="13">
        <f>G102*Table1[[#This Row],[one-year conditional mortality AT ISSUE]]</f>
        <v>3.3640555271159873E-4</v>
      </c>
      <c r="K103" s="10">
        <f>I102*Table1[[#This Row],[one-year conditional mortality AT ISSUE]]</f>
        <v>1.393036779690449E-5</v>
      </c>
      <c r="L103" s="3">
        <f t="shared" si="3"/>
        <v>1.9910109748700498E-3</v>
      </c>
      <c r="M103" s="44">
        <f>Table1[[#This Row],[Death benefit pay probability]]/Table1[[#This Row],[unconditional persistency AT ISSUE]]</f>
        <v>0.86301778791984429</v>
      </c>
      <c r="N103" s="44">
        <f>Table1[[#This Row],[one-year conditional mortality AT ISSUE]]/Table1[[#This Row],[one-year conditional persistency AT ISSUE]]</f>
        <v>0.86301778791984429</v>
      </c>
      <c r="O103" s="4">
        <f>(1+$B$14)^(Table1[[#This Row],[age since issue]]-$A$17)</f>
        <v>19.269483865055438</v>
      </c>
      <c r="P103" s="5">
        <f>(Table1[[#This Row],[level premium unmarked-up]]*Table1[[#This Row],[unconditional persistency AT ISSUE]]-Table1[[#This Row],[Death benefit pay probability]])</f>
        <v>-1.3898229971293195E-5</v>
      </c>
      <c r="Q103" s="4">
        <f>Table1[[#This Row],[Issuer profit with unmarked-up level premium]]/Table1[[#This Row],[Issuer discounter at issue]]</f>
        <v>-7.21255954161656E-7</v>
      </c>
      <c r="R103" s="4">
        <f>(Table1[[#This Row],[variable premium unmarked up]]*Table1[[#This Row],[unconditional persistency AT ISSUE]]-Table1[[#This Row],[Death benefit pay probability]])</f>
        <v>0</v>
      </c>
      <c r="S103" s="6">
        <f>Table1[[#This Row],[level premium unmarked-up]]*(1+$B$15)</f>
        <v>1.9910109748700498E-3</v>
      </c>
      <c r="T103" s="6">
        <f>MIN(Table1[[#This Row],[variable premium unmarked up]]*(1+$B$15),1)</f>
        <v>0.86301778791984429</v>
      </c>
      <c r="U103" s="6">
        <f>Table1[[#This Row],[level premium marked up]]-Table1[[#This Row],[variable premium marked up]]</f>
        <v>-0.8610267769449742</v>
      </c>
      <c r="V103" s="6">
        <f>Table1[[#This Row],[additional cash]]+V102*(1+$D$2)</f>
        <v>-9.5704699310683292</v>
      </c>
      <c r="W103" s="12">
        <v>0.43208000000000002</v>
      </c>
      <c r="X103" s="13">
        <f>1-Table1[[#This Row],[one-year conditional mortality NOW]]</f>
        <v>0.56791999999999998</v>
      </c>
      <c r="Y103" s="49">
        <f>PRODUCT(X$17:X103)</f>
        <v>1.245226060323204E-3</v>
      </c>
      <c r="Z103" s="13">
        <f>Table1[[#This Row],[one-year conditional survival NOW]]*(1-Table1[[#This Row],[Lapse rate]])</f>
        <v>0.54974656</v>
      </c>
      <c r="AA103" s="13">
        <f>PRODUCT(Z$17:Z103)</f>
        <v>7.2989417397925809E-5</v>
      </c>
      <c r="AB103" s="50">
        <f>Y102*Table1[[#This Row],[one-year conditional mortality NOW]]</f>
        <v>9.4738215971342801E-4</v>
      </c>
      <c r="AC103" s="14">
        <v>1.9699999999999999E-2</v>
      </c>
      <c r="AD103" s="28">
        <f>(1+Table1[[#This Row],[Yield curve now]])^(Table1[[#This Row],[age since issue]]-$A$23)</f>
        <v>4.7620455391226395</v>
      </c>
      <c r="AE103" s="46">
        <f t="shared" si="4"/>
        <v>3.4445040097607182</v>
      </c>
      <c r="AF103" s="42">
        <f>1-Table1[[#This Row],[cumulative debt until t]]</f>
        <v>-2.4445040097607182</v>
      </c>
      <c r="AG103" s="46">
        <f>Table1[[#This Row],[cumulative debt until t]]*Table1[[#This Row],[Unconditional mortality NOW]]/Table1[[#This Row],[discouter with yield curve]]</f>
        <v>6.8526468743301773E-4</v>
      </c>
      <c r="AH103" s="48">
        <f>Table1[[#This Row],[Unconditional mortality NOW]]/Table1[[#This Row],[discouter with yield curve]]</f>
        <v>1.9894437210442426E-4</v>
      </c>
      <c r="AI103" s="29">
        <f>Table1[[#This Row],[user profit (death benefit - debt)]]*Table1[[#This Row],[Unconditional mortality NOW]]/Table1[[#This Row],[discouter with yield curve]]</f>
        <v>-4.8632031532859352E-4</v>
      </c>
      <c r="AJ103" s="29">
        <f>(1+$D$4)^(Table1[[#This Row],[age since issue]]-$A$23)</f>
        <v>71750.879401430517</v>
      </c>
      <c r="AK103" s="57">
        <f>Table1[[#This Row],[level premium marked up]]*Table1[[#This Row],[unconditional survival NOW]]</f>
        <v>2.479258752297694E-6</v>
      </c>
      <c r="AL103" s="62">
        <f>Table1[[#This Row],[cumulative debt until t]]*Table1[[#This Row],[Unconditional mortality NOW]]</f>
        <v>3.263261647908672E-3</v>
      </c>
      <c r="AM103" s="47">
        <f>Table1[[#This Row],[probablistic premium stream]]/Table1[[#This Row],[lender discounter]]</f>
        <v>3.4553705445570666E-11</v>
      </c>
      <c r="AN103" s="58">
        <f>Table1[[#This Row],[probablistic repay from borrower]]/Table1[[#This Row],[lender discounter]]</f>
        <v>4.5480441147646914E-8</v>
      </c>
      <c r="AO103" s="47">
        <f>(Table1[[#This Row],[probablistic repay from borrower]]-Table1[[#This Row],[probablistic premium stream]])/Table1[[#This Row],[lender discounter]]</f>
        <v>4.5445887442201341E-8</v>
      </c>
      <c r="AP103" s="46">
        <f>AP102*(1+$D$4)+ Table1[[#This Row],[level premium marked up]]</f>
        <v>1095.2221039038318</v>
      </c>
      <c r="AQ103" s="58">
        <f>AP103*Table1[[#This Row],[Unconditional mortality NOW]]</f>
        <v>1.0375938821622965</v>
      </c>
      <c r="AR103" s="60">
        <f>Table1[[#This Row],[cumulative debt until t]]*Table1[[#This Row],[Unconditional mortality NOW]]</f>
        <v>3.263261647908672E-3</v>
      </c>
      <c r="AS103" s="58">
        <f>Table1[[#This Row],[lender to pay cumulative probablistic undiscounted]]/Table1[[#This Row],[lender discounter]]</f>
        <v>1.4461061534273122E-5</v>
      </c>
    </row>
    <row r="104" spans="1:45" s="3" customFormat="1">
      <c r="A104" s="3">
        <v>108</v>
      </c>
      <c r="B104" s="8">
        <v>3.2000000000000001E-2</v>
      </c>
      <c r="C104" s="3">
        <v>0</v>
      </c>
      <c r="D104" s="8">
        <v>3.2000000000000001E-2</v>
      </c>
      <c r="E104" s="12">
        <v>0.48155999999999999</v>
      </c>
      <c r="F104" s="13">
        <f>1-Table1[[#This Row],[one-year conditional mortality AT ISSUE]]</f>
        <v>0.51844000000000001</v>
      </c>
      <c r="G104" s="13">
        <f>PRODUCT(F$17:F104)</f>
        <v>2.087692606169084E-4</v>
      </c>
      <c r="H104" s="13">
        <f>Table1[[#This Row],[one-year conditional survival AT ISSUE]]*(1-Table1[[#This Row],[Lapse rate]])</f>
        <v>0.50184991999999995</v>
      </c>
      <c r="I104" s="13">
        <f>PRODUCT(H$17:H104)</f>
        <v>8.1005908131946901E-6</v>
      </c>
      <c r="J104" s="13">
        <f>G103*Table1[[#This Row],[one-year conditional mortality AT ISSUE]]</f>
        <v>1.9391814895200683E-4</v>
      </c>
      <c r="K104" s="10">
        <f>I103*Table1[[#This Row],[one-year conditional mortality AT ISSUE]]</f>
        <v>7.7730818647974184E-6</v>
      </c>
      <c r="L104" s="3">
        <f t="shared" si="3"/>
        <v>1.9910109748700498E-3</v>
      </c>
      <c r="M104" s="44">
        <f>Table1[[#This Row],[Death benefit pay probability]]/Table1[[#This Row],[unconditional persistency AT ISSUE]]</f>
        <v>0.95956974547290963</v>
      </c>
      <c r="N104" s="44">
        <f>Table1[[#This Row],[one-year conditional mortality AT ISSUE]]/Table1[[#This Row],[one-year conditional persistency AT ISSUE]]</f>
        <v>0.95956974547290963</v>
      </c>
      <c r="O104" s="4">
        <f>(1+$B$14)^(Table1[[#This Row],[age since issue]]-$A$17)</f>
        <v>19.943915800332377</v>
      </c>
      <c r="P104" s="5">
        <f>(Table1[[#This Row],[level premium unmarked-up]]*Table1[[#This Row],[unconditional persistency AT ISSUE]]-Table1[[#This Row],[Death benefit pay probability]])</f>
        <v>-7.7569534995854162E-6</v>
      </c>
      <c r="Q104" s="4">
        <f>Table1[[#This Row],[Issuer profit with unmarked-up level premium]]/Table1[[#This Row],[Issuer discounter at issue]]</f>
        <v>-3.8893833975453017E-7</v>
      </c>
      <c r="R104" s="4">
        <f>(Table1[[#This Row],[variable premium unmarked up]]*Table1[[#This Row],[unconditional persistency AT ISSUE]]-Table1[[#This Row],[Death benefit pay probability]])</f>
        <v>0</v>
      </c>
      <c r="S104" s="6">
        <f>Table1[[#This Row],[level premium unmarked-up]]*(1+$B$15)</f>
        <v>1.9910109748700498E-3</v>
      </c>
      <c r="T104" s="6">
        <f>MIN(Table1[[#This Row],[variable premium unmarked up]]*(1+$B$15),1)</f>
        <v>0.95956974547290963</v>
      </c>
      <c r="U104" s="6">
        <f>Table1[[#This Row],[level premium marked up]]-Table1[[#This Row],[variable premium marked up]]</f>
        <v>-0.95757873449803954</v>
      </c>
      <c r="V104" s="6">
        <f>Table1[[#This Row],[additional cash]]+V103*(1+$D$2)</f>
        <v>-10.537619135497435</v>
      </c>
      <c r="W104" s="12">
        <v>0.44951000000000002</v>
      </c>
      <c r="X104" s="13">
        <f>1-Table1[[#This Row],[one-year conditional mortality NOW]]</f>
        <v>0.55048999999999992</v>
      </c>
      <c r="Y104" s="49">
        <f>PRODUCT(X$17:X104)</f>
        <v>6.8548449394732042E-4</v>
      </c>
      <c r="Z104" s="13">
        <f>Table1[[#This Row],[one-year conditional survival NOW]]*(1-Table1[[#This Row],[Lapse rate]])</f>
        <v>0.5328743199999999</v>
      </c>
      <c r="AA104" s="13">
        <f>PRODUCT(Z$17:Z104)</f>
        <v>3.8894186163115878E-5</v>
      </c>
      <c r="AB104" s="50">
        <f>Y103*Table1[[#This Row],[one-year conditional mortality NOW]]</f>
        <v>5.5974156637588347E-4</v>
      </c>
      <c r="AC104" s="14">
        <v>1.9699999999999999E-2</v>
      </c>
      <c r="AD104" s="28">
        <f>(1+Table1[[#This Row],[Yield curve now]])^(Table1[[#This Row],[age since issue]]-$A$23)</f>
        <v>4.8558578362433558</v>
      </c>
      <c r="AE104" s="46">
        <f t="shared" si="4"/>
        <v>3.6494147619568711</v>
      </c>
      <c r="AF104" s="42">
        <f>1-Table1[[#This Row],[cumulative debt until t]]</f>
        <v>-2.6494147619568711</v>
      </c>
      <c r="AG104" s="46">
        <f>Table1[[#This Row],[cumulative debt until t]]*Table1[[#This Row],[Unconditional mortality NOW]]/Table1[[#This Row],[discouter with yield curve]]</f>
        <v>4.2067317538960951E-4</v>
      </c>
      <c r="AH104" s="48">
        <f>Table1[[#This Row],[Unconditional mortality NOW]]/Table1[[#This Row],[discouter with yield curve]]</f>
        <v>1.1527140728833963E-4</v>
      </c>
      <c r="AI104" s="29">
        <f>Table1[[#This Row],[user profit (death benefit - debt)]]*Table1[[#This Row],[Unconditional mortality NOW]]/Table1[[#This Row],[discouter with yield curve]]</f>
        <v>-3.0540176810126988E-4</v>
      </c>
      <c r="AJ104" s="29">
        <f>(1+$D$4)^(Table1[[#This Row],[age since issue]]-$A$23)</f>
        <v>82513.511311645081</v>
      </c>
      <c r="AK104" s="57">
        <f>Table1[[#This Row],[level premium marked up]]*Table1[[#This Row],[unconditional survival NOW]]</f>
        <v>1.3648071505523571E-6</v>
      </c>
      <c r="AL104" s="62">
        <f>Table1[[#This Row],[cumulative debt until t]]*Table1[[#This Row],[Unconditional mortality NOW]]</f>
        <v>2.042729135213011E-3</v>
      </c>
      <c r="AM104" s="47">
        <f>Table1[[#This Row],[probablistic premium stream]]/Table1[[#This Row],[lender discounter]]</f>
        <v>1.6540408096288865E-11</v>
      </c>
      <c r="AN104" s="58">
        <f>Table1[[#This Row],[probablistic repay from borrower]]/Table1[[#This Row],[lender discounter]]</f>
        <v>2.4756298729038838E-8</v>
      </c>
      <c r="AO104" s="47">
        <f>(Table1[[#This Row],[probablistic repay from borrower]]-Table1[[#This Row],[probablistic premium stream]])/Table1[[#This Row],[lender discounter]]</f>
        <v>2.4739758320942551E-8</v>
      </c>
      <c r="AP104" s="46">
        <f>AP103*(1+$D$4)+ Table1[[#This Row],[level premium marked up]]</f>
        <v>1259.5074105003814</v>
      </c>
      <c r="AQ104" s="58">
        <f>AP104*Table1[[#This Row],[Unconditional mortality NOW]]</f>
        <v>0.70499865081551638</v>
      </c>
      <c r="AR104" s="60">
        <f>Table1[[#This Row],[cumulative debt until t]]*Table1[[#This Row],[Unconditional mortality NOW]]</f>
        <v>2.042729135213011E-3</v>
      </c>
      <c r="AS104" s="58">
        <f>Table1[[#This Row],[lender to pay cumulative probablistic undiscounted]]/Table1[[#This Row],[lender discounter]]</f>
        <v>8.5440389047656529E-6</v>
      </c>
    </row>
    <row r="105" spans="1:45" s="3" customFormat="1">
      <c r="A105" s="3">
        <v>109</v>
      </c>
      <c r="B105" s="8">
        <v>3.2000000000000001E-2</v>
      </c>
      <c r="C105" s="3">
        <v>0</v>
      </c>
      <c r="D105" s="8">
        <v>3.2000000000000001E-2</v>
      </c>
      <c r="E105" s="12">
        <v>0.50949</v>
      </c>
      <c r="F105" s="13">
        <f>1-Table1[[#This Row],[one-year conditional mortality AT ISSUE]]</f>
        <v>0.49051</v>
      </c>
      <c r="G105" s="13">
        <f>PRODUCT(F$17:F105)</f>
        <v>1.0240341002519974E-4</v>
      </c>
      <c r="H105" s="13">
        <f>Table1[[#This Row],[one-year conditional survival AT ISSUE]]*(1-Table1[[#This Row],[Lapse rate]])</f>
        <v>0.47481367999999996</v>
      </c>
      <c r="I105" s="13">
        <f>PRODUCT(H$17:H105)</f>
        <v>3.8462713341871633E-6</v>
      </c>
      <c r="J105" s="13">
        <f>G104*Table1[[#This Row],[one-year conditional mortality AT ISSUE]]</f>
        <v>1.0636585059170867E-4</v>
      </c>
      <c r="K105" s="10">
        <f>I104*Table1[[#This Row],[one-year conditional mortality AT ISSUE]]</f>
        <v>4.1271700134145629E-6</v>
      </c>
      <c r="L105" s="3">
        <f t="shared" si="3"/>
        <v>1.9910109748700498E-3</v>
      </c>
      <c r="M105" s="44">
        <f>Table1[[#This Row],[Death benefit pay probability]]/Table1[[#This Row],[unconditional persistency AT ISSUE]]</f>
        <v>1.0730314257162936</v>
      </c>
      <c r="N105" s="44">
        <f>Table1[[#This Row],[one-year conditional mortality AT ISSUE]]/Table1[[#This Row],[one-year conditional persistency AT ISSUE]]</f>
        <v>1.0730314257162936</v>
      </c>
      <c r="O105" s="4">
        <f>(1+$B$14)^(Table1[[#This Row],[age since issue]]-$A$17)</f>
        <v>20.641952853344005</v>
      </c>
      <c r="P105" s="5">
        <f>(Table1[[#This Row],[level premium unmarked-up]]*Table1[[#This Row],[unconditional persistency AT ISSUE]]-Table1[[#This Row],[Death benefit pay probability]])</f>
        <v>-4.1195120449758685E-6</v>
      </c>
      <c r="Q105" s="4">
        <f>Table1[[#This Row],[Issuer profit with unmarked-up level premium]]/Table1[[#This Row],[Issuer discounter at issue]]</f>
        <v>-1.9956987956730587E-7</v>
      </c>
      <c r="R105" s="4">
        <f>(Table1[[#This Row],[variable premium unmarked up]]*Table1[[#This Row],[unconditional persistency AT ISSUE]]-Table1[[#This Row],[Death benefit pay probability]])</f>
        <v>0</v>
      </c>
      <c r="S105" s="6">
        <f>Table1[[#This Row],[level premium unmarked-up]]*(1+$B$15)</f>
        <v>1.9910109748700498E-3</v>
      </c>
      <c r="T105" s="6">
        <f>MIN(Table1[[#This Row],[variable premium unmarked up]]*(1+$B$15),1)</f>
        <v>1</v>
      </c>
      <c r="U105" s="6">
        <f>Table1[[#This Row],[level premium marked up]]-Table1[[#This Row],[variable premium marked up]]</f>
        <v>-0.99800898902512991</v>
      </c>
      <c r="V105" s="6">
        <f>Table1[[#This Row],[additional cash]]+V104*(1+$D$2)</f>
        <v>-11.546165743658062</v>
      </c>
      <c r="W105" s="12">
        <v>0.46498</v>
      </c>
      <c r="X105" s="13">
        <f>1-Table1[[#This Row],[one-year conditional mortality NOW]]</f>
        <v>0.53502000000000005</v>
      </c>
      <c r="Y105" s="49">
        <f>PRODUCT(X$17:X105)</f>
        <v>3.6674791395169542E-4</v>
      </c>
      <c r="Z105" s="13">
        <f>Table1[[#This Row],[one-year conditional survival NOW]]*(1-Table1[[#This Row],[Lapse rate]])</f>
        <v>0.51789936000000003</v>
      </c>
      <c r="AA105" s="13">
        <f>PRODUCT(Z$17:Z105)</f>
        <v>2.0143274121598569E-5</v>
      </c>
      <c r="AB105" s="50">
        <f>Y104*Table1[[#This Row],[one-year conditional mortality NOW]]</f>
        <v>3.1873657999562506E-4</v>
      </c>
      <c r="AC105" s="14">
        <v>1.9699999999999999E-2</v>
      </c>
      <c r="AD105" s="28">
        <f>(1+Table1[[#This Row],[Yield curve now]])^(Table1[[#This Row],[age since issue]]-$A$23)</f>
        <v>4.9515182356173497</v>
      </c>
      <c r="AE105" s="46">
        <f t="shared" si="4"/>
        <v>3.8663900714957551</v>
      </c>
      <c r="AF105" s="42">
        <f>1-Table1[[#This Row],[cumulative debt until t]]</f>
        <v>-2.8663900714957551</v>
      </c>
      <c r="AG105" s="46">
        <f>Table1[[#This Row],[cumulative debt until t]]*Table1[[#This Row],[Unconditional mortality NOW]]/Table1[[#This Row],[discouter with yield curve]]</f>
        <v>2.4888526905807672E-4</v>
      </c>
      <c r="AH105" s="48">
        <f>Table1[[#This Row],[Unconditional mortality NOW]]/Table1[[#This Row],[discouter with yield curve]]</f>
        <v>6.4371484629276607E-5</v>
      </c>
      <c r="AI105" s="29">
        <f>Table1[[#This Row],[user profit (death benefit - debt)]]*Table1[[#This Row],[Unconditional mortality NOW]]/Table1[[#This Row],[discouter with yield curve]]</f>
        <v>-1.845137844288001E-4</v>
      </c>
      <c r="AJ105" s="29">
        <f>(1+$D$4)^(Table1[[#This Row],[age since issue]]-$A$23)</f>
        <v>94890.538008391828</v>
      </c>
      <c r="AK105" s="57">
        <f>Table1[[#This Row],[level premium marked up]]*Table1[[#This Row],[unconditional survival NOW]]</f>
        <v>7.3019912168852227E-7</v>
      </c>
      <c r="AL105" s="62">
        <f>Table1[[#This Row],[cumulative debt until t]]*Table1[[#This Row],[Unconditional mortality NOW]]</f>
        <v>1.2323599483175973E-3</v>
      </c>
      <c r="AM105" s="47">
        <f>Table1[[#This Row],[probablistic premium stream]]/Table1[[#This Row],[lender discounter]]</f>
        <v>7.6951731649360631E-12</v>
      </c>
      <c r="AN105" s="58">
        <f>Table1[[#This Row],[probablistic repay from borrower]]/Table1[[#This Row],[lender discounter]]</f>
        <v>1.2987174213393239E-8</v>
      </c>
      <c r="AO105" s="47">
        <f>(Table1[[#This Row],[probablistic repay from borrower]]-Table1[[#This Row],[probablistic premium stream]])/Table1[[#This Row],[lender discounter]]</f>
        <v>1.2979479040228302E-8</v>
      </c>
      <c r="AP105" s="46">
        <f>AP104*(1+$D$4)+ Table1[[#This Row],[level premium marked up]]</f>
        <v>1448.4355130864135</v>
      </c>
      <c r="AQ105" s="58">
        <f>AP105*Table1[[#This Row],[Unconditional mortality NOW]]</f>
        <v>0.46166938178537187</v>
      </c>
      <c r="AR105" s="60">
        <f>Table1[[#This Row],[cumulative debt until t]]*Table1[[#This Row],[Unconditional mortality NOW]]</f>
        <v>1.2323599483175973E-3</v>
      </c>
      <c r="AS105" s="58">
        <f>Table1[[#This Row],[lender to pay cumulative probablistic undiscounted]]/Table1[[#This Row],[lender discounter]]</f>
        <v>4.8652836360200977E-6</v>
      </c>
    </row>
    <row r="106" spans="1:45" s="3" customFormat="1">
      <c r="A106" s="3">
        <v>110</v>
      </c>
      <c r="B106" s="8">
        <v>3.2000000000000001E-2</v>
      </c>
      <c r="C106" s="3">
        <v>0</v>
      </c>
      <c r="D106" s="8">
        <v>3.2000000000000001E-2</v>
      </c>
      <c r="E106" s="12">
        <v>0.53905000000000003</v>
      </c>
      <c r="F106" s="13">
        <f>1-Table1[[#This Row],[one-year conditional mortality AT ISSUE]]</f>
        <v>0.46094999999999997</v>
      </c>
      <c r="G106" s="13">
        <f>PRODUCT(F$17:F106)</f>
        <v>4.7202851851115816E-5</v>
      </c>
      <c r="H106" s="13">
        <f>Table1[[#This Row],[one-year conditional survival AT ISSUE]]*(1-Table1[[#This Row],[Lapse rate]])</f>
        <v>0.44619959999999997</v>
      </c>
      <c r="I106" s="13">
        <f>PRODUCT(H$17:H106)</f>
        <v>1.7162047308057784E-6</v>
      </c>
      <c r="J106" s="13">
        <f>G105*Table1[[#This Row],[one-year conditional mortality AT ISSUE]]</f>
        <v>5.5200558174083919E-5</v>
      </c>
      <c r="K106" s="10">
        <f>I105*Table1[[#This Row],[one-year conditional mortality AT ISSUE]]</f>
        <v>2.0733325626935907E-6</v>
      </c>
      <c r="L106" s="3">
        <f t="shared" si="3"/>
        <v>1.9910109748700498E-3</v>
      </c>
      <c r="M106" s="44">
        <f>Table1[[#This Row],[Death benefit pay probability]]/Table1[[#This Row],[unconditional persistency AT ISSUE]]</f>
        <v>1.2080916253622822</v>
      </c>
      <c r="N106" s="44">
        <f>Table1[[#This Row],[one-year conditional mortality AT ISSUE]]/Table1[[#This Row],[one-year conditional persistency AT ISSUE]]</f>
        <v>1.208091625362282</v>
      </c>
      <c r="O106" s="4">
        <f>(1+$B$14)^(Table1[[#This Row],[age since issue]]-$A$17)</f>
        <v>21.364421203211045</v>
      </c>
      <c r="P106" s="5">
        <f>(Table1[[#This Row],[level premium unmarked-up]]*Table1[[#This Row],[unconditional persistency AT ISSUE]]-Table1[[#This Row],[Death benefit pay probability]])</f>
        <v>-2.0699155802394326E-6</v>
      </c>
      <c r="Q106" s="4">
        <f>Table1[[#This Row],[Issuer profit with unmarked-up level premium]]/Table1[[#This Row],[Issuer discounter at issue]]</f>
        <v>-9.6886106136511058E-8</v>
      </c>
      <c r="R106" s="4">
        <f>(Table1[[#This Row],[variable premium unmarked up]]*Table1[[#This Row],[unconditional persistency AT ISSUE]]-Table1[[#This Row],[Death benefit pay probability]])</f>
        <v>0</v>
      </c>
      <c r="S106" s="6">
        <f>Table1[[#This Row],[level premium unmarked-up]]*(1+$B$15)</f>
        <v>1.9910109748700498E-3</v>
      </c>
      <c r="T106" s="6">
        <f>MIN(Table1[[#This Row],[variable premium unmarked up]]*(1+$B$15),1)</f>
        <v>1</v>
      </c>
      <c r="U106" s="6">
        <f>Table1[[#This Row],[level premium marked up]]-Table1[[#This Row],[variable premium marked up]]</f>
        <v>-0.99800898902512991</v>
      </c>
      <c r="V106" s="6">
        <f>Table1[[#This Row],[additional cash]]+V105*(1+$D$2)</f>
        <v>-12.555720898426848</v>
      </c>
      <c r="W106" s="12">
        <v>0.47811999999999999</v>
      </c>
      <c r="X106" s="13">
        <f>1-Table1[[#This Row],[one-year conditional mortality NOW]]</f>
        <v>0.52188000000000001</v>
      </c>
      <c r="Y106" s="49">
        <f>PRODUCT(X$17:X106)</f>
        <v>1.913984013331108E-4</v>
      </c>
      <c r="Z106" s="13">
        <f>Table1[[#This Row],[one-year conditional survival NOW]]*(1-Table1[[#This Row],[Lapse rate]])</f>
        <v>0.50517984000000005</v>
      </c>
      <c r="AA106" s="13">
        <f>PRODUCT(Z$17:Z106)</f>
        <v>1.0175975997825307E-5</v>
      </c>
      <c r="AB106" s="50">
        <f>Y105*Table1[[#This Row],[one-year conditional mortality NOW]]</f>
        <v>1.7534951261858462E-4</v>
      </c>
      <c r="AC106" s="14">
        <v>1.9699999999999999E-2</v>
      </c>
      <c r="AD106" s="28">
        <f>(1+Table1[[#This Row],[Yield curve now]])^(Table1[[#This Row],[age since issue]]-$A$23)</f>
        <v>5.0490631448590122</v>
      </c>
      <c r="AE106" s="46">
        <f t="shared" si="4"/>
        <v>4.0961402649088772</v>
      </c>
      <c r="AF106" s="42">
        <f>1-Table1[[#This Row],[cumulative debt until t]]</f>
        <v>-3.0961402649088772</v>
      </c>
      <c r="AG106" s="46">
        <f>Table1[[#This Row],[cumulative debt until t]]*Table1[[#This Row],[Unconditional mortality NOW]]/Table1[[#This Row],[discouter with yield curve]]</f>
        <v>1.4225534093398388E-4</v>
      </c>
      <c r="AH106" s="48">
        <f>Table1[[#This Row],[Unconditional mortality NOW]]/Table1[[#This Row],[discouter with yield curve]]</f>
        <v>3.4729118568684689E-5</v>
      </c>
      <c r="AI106" s="29">
        <f>Table1[[#This Row],[user profit (death benefit - debt)]]*Table1[[#This Row],[Unconditional mortality NOW]]/Table1[[#This Row],[discouter with yield curve]]</f>
        <v>-1.075262223652992E-4</v>
      </c>
      <c r="AJ106" s="29">
        <f>(1+$D$4)^(Table1[[#This Row],[age since issue]]-$A$23)</f>
        <v>109124.1187096506</v>
      </c>
      <c r="AK106" s="57">
        <f>Table1[[#This Row],[level premium marked up]]*Table1[[#This Row],[unconditional survival NOW]]</f>
        <v>3.8107631762680597E-7</v>
      </c>
      <c r="AL106" s="62">
        <f>Table1[[#This Row],[cumulative debt until t]]*Table1[[#This Row],[Unconditional mortality NOW]]</f>
        <v>7.1825619906913164E-4</v>
      </c>
      <c r="AM106" s="47">
        <f>Table1[[#This Row],[probablistic premium stream]]/Table1[[#This Row],[lender discounter]]</f>
        <v>3.4921364967972452E-12</v>
      </c>
      <c r="AN106" s="58">
        <f>Table1[[#This Row],[probablistic repay from borrower]]/Table1[[#This Row],[lender discounter]]</f>
        <v>6.5820114523006111E-9</v>
      </c>
      <c r="AO106" s="47">
        <f>(Table1[[#This Row],[probablistic repay from borrower]]-Table1[[#This Row],[probablistic premium stream]])/Table1[[#This Row],[lender discounter]]</f>
        <v>6.5785193158038137E-9</v>
      </c>
      <c r="AP106" s="46">
        <f>AP105*(1+$D$4)+ Table1[[#This Row],[level premium marked up]]</f>
        <v>1665.7028310603503</v>
      </c>
      <c r="AQ106" s="58">
        <f>AP106*Table1[[#This Row],[Unconditional mortality NOW]]</f>
        <v>0.29208017959382898</v>
      </c>
      <c r="AR106" s="60">
        <f>Table1[[#This Row],[cumulative debt until t]]*Table1[[#This Row],[Unconditional mortality NOW]]</f>
        <v>7.1825619906913164E-4</v>
      </c>
      <c r="AS106" s="58">
        <f>Table1[[#This Row],[lender to pay cumulative probablistic undiscounted]]/Table1[[#This Row],[lender discounter]]</f>
        <v>2.6765868356836341E-6</v>
      </c>
    </row>
    <row r="107" spans="1:45" s="3" customFormat="1">
      <c r="A107" s="3">
        <v>111</v>
      </c>
      <c r="B107" s="8">
        <v>3.2000000000000001E-2</v>
      </c>
      <c r="C107" s="3">
        <v>0</v>
      </c>
      <c r="D107" s="8">
        <v>3.2000000000000001E-2</v>
      </c>
      <c r="E107" s="12">
        <v>0.57030999999999998</v>
      </c>
      <c r="F107" s="13">
        <f>1-Table1[[#This Row],[one-year conditional mortality AT ISSUE]]</f>
        <v>0.42969000000000002</v>
      </c>
      <c r="G107" s="13">
        <f>PRODUCT(F$17:F107)</f>
        <v>2.0282593411905955E-5</v>
      </c>
      <c r="H107" s="13">
        <f>Table1[[#This Row],[one-year conditional survival AT ISSUE]]*(1-Table1[[#This Row],[Lapse rate]])</f>
        <v>0.41593992000000002</v>
      </c>
      <c r="I107" s="13">
        <f>PRODUCT(H$17:H107)</f>
        <v>7.1383805843497708E-7</v>
      </c>
      <c r="J107" s="13">
        <f>G106*Table1[[#This Row],[one-year conditional mortality AT ISSUE]]</f>
        <v>2.6920258439209862E-5</v>
      </c>
      <c r="K107" s="10">
        <f>I106*Table1[[#This Row],[one-year conditional mortality AT ISSUE]]</f>
        <v>9.7876872002584349E-7</v>
      </c>
      <c r="L107" s="3">
        <f t="shared" si="3"/>
        <v>1.9910109748700498E-3</v>
      </c>
      <c r="M107" s="44">
        <f>Table1[[#This Row],[Death benefit pay probability]]/Table1[[#This Row],[unconditional persistency AT ISSUE]]</f>
        <v>1.3711355236111984</v>
      </c>
      <c r="N107" s="44">
        <f>Table1[[#This Row],[one-year conditional mortality AT ISSUE]]/Table1[[#This Row],[one-year conditional persistency AT ISSUE]]</f>
        <v>1.3711355236111984</v>
      </c>
      <c r="O107" s="4">
        <f>(1+$B$14)^(Table1[[#This Row],[age since issue]]-$A$17)</f>
        <v>22.112175945323429</v>
      </c>
      <c r="P107" s="5">
        <f>(Table1[[#This Row],[level premium unmarked-up]]*Table1[[#This Row],[unconditional persistency AT ISSUE]]-Table1[[#This Row],[Death benefit pay probability]])</f>
        <v>-9.7734746061721951E-7</v>
      </c>
      <c r="Q107" s="4">
        <f>Table1[[#This Row],[Issuer profit with unmarked-up level premium]]/Table1[[#This Row],[Issuer discounter at issue]]</f>
        <v>-4.4199515372611792E-8</v>
      </c>
      <c r="R107" s="4">
        <f>(Table1[[#This Row],[variable premium unmarked up]]*Table1[[#This Row],[unconditional persistency AT ISSUE]]-Table1[[#This Row],[Death benefit pay probability]])</f>
        <v>0</v>
      </c>
      <c r="S107" s="6">
        <f>Table1[[#This Row],[level premium unmarked-up]]*(1+$B$15)</f>
        <v>1.9910109748700498E-3</v>
      </c>
      <c r="T107" s="6">
        <f>MIN(Table1[[#This Row],[variable premium unmarked up]]*(1+$B$15),1)</f>
        <v>1</v>
      </c>
      <c r="U107" s="6">
        <f>Table1[[#This Row],[level premium marked up]]-Table1[[#This Row],[variable premium marked up]]</f>
        <v>-0.99800898902512991</v>
      </c>
      <c r="V107" s="6">
        <f>Table1[[#This Row],[additional cash]]+V106*(1+$D$2)</f>
        <v>-13.566285608350405</v>
      </c>
      <c r="W107" s="12">
        <v>0.48857</v>
      </c>
      <c r="X107" s="13">
        <f>1-Table1[[#This Row],[one-year conditional mortality NOW]]</f>
        <v>0.51143000000000005</v>
      </c>
      <c r="Y107" s="49">
        <f>PRODUCT(X$17:X107)</f>
        <v>9.7886884393792864E-5</v>
      </c>
      <c r="Z107" s="13">
        <f>Table1[[#This Row],[one-year conditional survival NOW]]*(1-Table1[[#This Row],[Lapse rate]])</f>
        <v>0.49506424000000004</v>
      </c>
      <c r="AA107" s="13">
        <f>PRODUCT(Z$17:Z107)</f>
        <v>5.0377618236216277E-6</v>
      </c>
      <c r="AB107" s="50">
        <f>Y106*Table1[[#This Row],[one-year conditional mortality NOW]]</f>
        <v>9.351151693931795E-5</v>
      </c>
      <c r="AC107" s="14">
        <v>1.9699999999999999E-2</v>
      </c>
      <c r="AD107" s="28">
        <f>(1+Table1[[#This Row],[Yield curve now]])^(Table1[[#This Row],[age since issue]]-$A$23)</f>
        <v>5.1485296888127348</v>
      </c>
      <c r="AE107" s="46">
        <f t="shared" si="4"/>
        <v>4.3394174907164871</v>
      </c>
      <c r="AF107" s="42">
        <f>1-Table1[[#This Row],[cumulative debt until t]]</f>
        <v>-3.3394174907164871</v>
      </c>
      <c r="AG107" s="46">
        <f>Table1[[#This Row],[cumulative debt until t]]*Table1[[#This Row],[Unconditional mortality NOW]]/Table1[[#This Row],[discouter with yield curve]]</f>
        <v>7.881580503879402E-5</v>
      </c>
      <c r="AH107" s="48">
        <f>Table1[[#This Row],[Unconditional mortality NOW]]/Table1[[#This Row],[discouter with yield curve]]</f>
        <v>1.8162761524423094E-5</v>
      </c>
      <c r="AI107" s="29">
        <f>Table1[[#This Row],[user profit (death benefit - debt)]]*Table1[[#This Row],[Unconditional mortality NOW]]/Table1[[#This Row],[discouter with yield curve]]</f>
        <v>-6.065304351437093E-5</v>
      </c>
      <c r="AJ107" s="29">
        <f>(1+$D$4)^(Table1[[#This Row],[age since issue]]-$A$23)</f>
        <v>125492.73651609819</v>
      </c>
      <c r="AK107" s="57">
        <f>Table1[[#This Row],[level premium marked up]]*Table1[[#This Row],[unconditional survival NOW]]</f>
        <v>1.948938611238774E-7</v>
      </c>
      <c r="AL107" s="62">
        <f>Table1[[#This Row],[cumulative debt until t]]*Table1[[#This Row],[Unconditional mortality NOW]]</f>
        <v>4.0578551218990738E-4</v>
      </c>
      <c r="AM107" s="47">
        <f>Table1[[#This Row],[probablistic premium stream]]/Table1[[#This Row],[lender discounter]]</f>
        <v>1.5530290161365351E-12</v>
      </c>
      <c r="AN107" s="58">
        <f>Table1[[#This Row],[probablistic repay from borrower]]/Table1[[#This Row],[lender discounter]]</f>
        <v>3.2335378401590063E-9</v>
      </c>
      <c r="AO107" s="47">
        <f>(Table1[[#This Row],[probablistic repay from borrower]]-Table1[[#This Row],[probablistic premium stream]])/Table1[[#This Row],[lender discounter]]</f>
        <v>3.2319848111428699E-9</v>
      </c>
      <c r="AP107" s="46">
        <f>AP106*(1+$D$4)+ Table1[[#This Row],[level premium marked up]]</f>
        <v>1915.5602467303777</v>
      </c>
      <c r="AQ107" s="58">
        <f>AP107*Table1[[#This Row],[Unconditional mortality NOW]]</f>
        <v>0.17912694446041177</v>
      </c>
      <c r="AR107" s="60">
        <f>Table1[[#This Row],[cumulative debt until t]]*Table1[[#This Row],[Unconditional mortality NOW]]</f>
        <v>4.0578551218990738E-4</v>
      </c>
      <c r="AS107" s="58">
        <f>Table1[[#This Row],[lender to pay cumulative probablistic undiscounted]]/Table1[[#This Row],[lender discounter]]</f>
        <v>1.4273889424463495E-6</v>
      </c>
    </row>
    <row r="108" spans="1:45" s="3" customFormat="1">
      <c r="A108" s="3">
        <v>112</v>
      </c>
      <c r="B108" s="8">
        <v>3.2000000000000001E-2</v>
      </c>
      <c r="C108" s="3">
        <v>0</v>
      </c>
      <c r="D108" s="8">
        <v>3.2000000000000001E-2</v>
      </c>
      <c r="E108" s="12">
        <v>0.60338999999999998</v>
      </c>
      <c r="F108" s="13">
        <f>1-Table1[[#This Row],[one-year conditional mortality AT ISSUE]]</f>
        <v>0.39661000000000002</v>
      </c>
      <c r="G108" s="13">
        <f>PRODUCT(F$17:F108)</f>
        <v>8.0442793730960203E-6</v>
      </c>
      <c r="H108" s="13">
        <f>Table1[[#This Row],[one-year conditional survival AT ISSUE]]*(1-Table1[[#This Row],[Lapse rate]])</f>
        <v>0.38391848000000001</v>
      </c>
      <c r="I108" s="13">
        <f>PRODUCT(H$17:H108)</f>
        <v>2.7405562236050761E-7</v>
      </c>
      <c r="J108" s="13">
        <f>G107*Table1[[#This Row],[one-year conditional mortality AT ISSUE]]</f>
        <v>1.2238314038809934E-5</v>
      </c>
      <c r="K108" s="10">
        <f>I107*Table1[[#This Row],[one-year conditional mortality AT ISSUE]]</f>
        <v>4.3072274607908079E-7</v>
      </c>
      <c r="L108" s="3">
        <f t="shared" si="3"/>
        <v>1.9910109748700498E-3</v>
      </c>
      <c r="M108" s="44">
        <f>Table1[[#This Row],[Death benefit pay probability]]/Table1[[#This Row],[unconditional persistency AT ISSUE]]</f>
        <v>1.5716617756977989</v>
      </c>
      <c r="N108" s="44">
        <f>Table1[[#This Row],[one-year conditional mortality AT ISSUE]]/Table1[[#This Row],[one-year conditional persistency AT ISSUE]]</f>
        <v>1.5716617756977991</v>
      </c>
      <c r="O108" s="4">
        <f>(1+$B$14)^(Table1[[#This Row],[age since issue]]-$A$17)</f>
        <v>22.886102103409751</v>
      </c>
      <c r="P108" s="5">
        <f>(Table1[[#This Row],[level premium unmarked-up]]*Table1[[#This Row],[unconditional persistency AT ISSUE]]-Table1[[#This Row],[Death benefit pay probability]])</f>
        <v>-4.3017709832723616E-7</v>
      </c>
      <c r="Q108" s="4">
        <f>Table1[[#This Row],[Issuer profit with unmarked-up level premium]]/Table1[[#This Row],[Issuer discounter at issue]]</f>
        <v>-1.8796433590285565E-8</v>
      </c>
      <c r="R108" s="4">
        <f>(Table1[[#This Row],[variable premium unmarked up]]*Table1[[#This Row],[unconditional persistency AT ISSUE]]-Table1[[#This Row],[Death benefit pay probability]])</f>
        <v>0</v>
      </c>
      <c r="S108" s="6">
        <f>Table1[[#This Row],[level premium unmarked-up]]*(1+$B$15)</f>
        <v>1.9910109748700498E-3</v>
      </c>
      <c r="T108" s="6">
        <f>MIN(Table1[[#This Row],[variable premium unmarked up]]*(1+$B$15),1)</f>
        <v>1</v>
      </c>
      <c r="U108" s="6">
        <f>Table1[[#This Row],[level premium marked up]]-Table1[[#This Row],[variable premium marked up]]</f>
        <v>-0.99800898902512991</v>
      </c>
      <c r="V108" s="6">
        <f>Table1[[#This Row],[additional cash]]+V107*(1+$D$2)</f>
        <v>-14.577860882983884</v>
      </c>
      <c r="W108" s="12">
        <v>0.49595</v>
      </c>
      <c r="X108" s="13">
        <f>1-Table1[[#This Row],[one-year conditional mortality NOW]]</f>
        <v>0.50405</v>
      </c>
      <c r="Y108" s="49">
        <f>PRODUCT(X$17:X108)</f>
        <v>4.9339884078691293E-5</v>
      </c>
      <c r="Z108" s="13">
        <f>Table1[[#This Row],[one-year conditional survival NOW]]*(1-Table1[[#This Row],[Lapse rate]])</f>
        <v>0.48792039999999998</v>
      </c>
      <c r="AA108" s="13">
        <f>PRODUCT(Z$17:Z108)</f>
        <v>2.4580267640861938E-6</v>
      </c>
      <c r="AB108" s="50">
        <f>Y107*Table1[[#This Row],[one-year conditional mortality NOW]]</f>
        <v>4.854700031510157E-5</v>
      </c>
      <c r="AC108" s="14">
        <v>1.9699999999999999E-2</v>
      </c>
      <c r="AD108" s="28">
        <f>(1+Table1[[#This Row],[Yield curve now]])^(Table1[[#This Row],[age since issue]]-$A$23)</f>
        <v>5.249955723682346</v>
      </c>
      <c r="AE108" s="46">
        <f t="shared" si="4"/>
        <v>4.5970181817863143</v>
      </c>
      <c r="AF108" s="42">
        <f>1-Table1[[#This Row],[cumulative debt until t]]</f>
        <v>-3.5970181817863143</v>
      </c>
      <c r="AG108" s="46">
        <f>Table1[[#This Row],[cumulative debt until t]]*Table1[[#This Row],[Unconditional mortality NOW]]/Table1[[#This Row],[discouter with yield curve]]</f>
        <v>4.250920481347874E-5</v>
      </c>
      <c r="AH108" s="48">
        <f>Table1[[#This Row],[Unconditional mortality NOW]]/Table1[[#This Row],[discouter with yield curve]]</f>
        <v>9.247125665480937E-6</v>
      </c>
      <c r="AI108" s="29">
        <f>Table1[[#This Row],[user profit (death benefit - debt)]]*Table1[[#This Row],[Unconditional mortality NOW]]/Table1[[#This Row],[discouter with yield curve]]</f>
        <v>-3.3262079147997802E-5</v>
      </c>
      <c r="AJ108" s="29">
        <f>(1+$D$4)^(Table1[[#This Row],[age since issue]]-$A$23)</f>
        <v>144316.6469935129</v>
      </c>
      <c r="AK108" s="57">
        <f>Table1[[#This Row],[level premium marked up]]*Table1[[#This Row],[unconditional survival NOW]]</f>
        <v>9.8236250699490396E-8</v>
      </c>
      <c r="AL108" s="62">
        <f>Table1[[#This Row],[cumulative debt until t]]*Table1[[#This Row],[Unconditional mortality NOW]]</f>
        <v>2.2317144311970785E-4</v>
      </c>
      <c r="AM108" s="47">
        <f>Table1[[#This Row],[probablistic premium stream]]/Table1[[#This Row],[lender discounter]]</f>
        <v>6.8069937007271356E-13</v>
      </c>
      <c r="AN108" s="58">
        <f>Table1[[#This Row],[probablistic repay from borrower]]/Table1[[#This Row],[lender discounter]]</f>
        <v>1.5464012487051442E-9</v>
      </c>
      <c r="AO108" s="47">
        <f>(Table1[[#This Row],[probablistic repay from borrower]]-Table1[[#This Row],[probablistic premium stream]])/Table1[[#This Row],[lender discounter]]</f>
        <v>1.5457205493350714E-9</v>
      </c>
      <c r="AP108" s="46">
        <f>AP107*(1+$D$4)+ Table1[[#This Row],[level premium marked up]]</f>
        <v>2202.896274750909</v>
      </c>
      <c r="AQ108" s="58">
        <f>AP108*Table1[[#This Row],[Unconditional mortality NOW]]</f>
        <v>0.10694400614446846</v>
      </c>
      <c r="AR108" s="60">
        <f>Table1[[#This Row],[cumulative debt until t]]*Table1[[#This Row],[Unconditional mortality NOW]]</f>
        <v>2.2317144311970785E-4</v>
      </c>
      <c r="AS108" s="58">
        <f>Table1[[#This Row],[lender to pay cumulative probablistic undiscounted]]/Table1[[#This Row],[lender discounter]]</f>
        <v>7.4103721484934193E-7</v>
      </c>
    </row>
    <row r="109" spans="1:45" s="3" customFormat="1">
      <c r="A109" s="3">
        <v>113</v>
      </c>
      <c r="B109" s="8">
        <v>3.2000000000000001E-2</v>
      </c>
      <c r="C109" s="3">
        <v>0</v>
      </c>
      <c r="D109" s="8">
        <v>3.2000000000000001E-2</v>
      </c>
      <c r="E109" s="12">
        <v>0.63837999999999995</v>
      </c>
      <c r="F109" s="13">
        <f>1-Table1[[#This Row],[one-year conditional mortality AT ISSUE]]</f>
        <v>0.36162000000000005</v>
      </c>
      <c r="G109" s="13">
        <f>PRODUCT(F$17:F109)</f>
        <v>2.9089723068989833E-6</v>
      </c>
      <c r="H109" s="13">
        <f>Table1[[#This Row],[one-year conditional survival AT ISSUE]]*(1-Table1[[#This Row],[Lapse rate]])</f>
        <v>0.35004816000000005</v>
      </c>
      <c r="I109" s="13">
        <f>PRODUCT(H$17:H109)</f>
        <v>9.5932666344950563E-8</v>
      </c>
      <c r="J109" s="13">
        <f>G108*Table1[[#This Row],[one-year conditional mortality AT ISSUE]]</f>
        <v>5.1353070661970374E-6</v>
      </c>
      <c r="K109" s="10">
        <f>I108*Table1[[#This Row],[one-year conditional mortality AT ISSUE]]</f>
        <v>1.7495162820250082E-7</v>
      </c>
      <c r="L109" s="3">
        <f t="shared" si="3"/>
        <v>1.9910109748700498E-3</v>
      </c>
      <c r="M109" s="44">
        <f>Table1[[#This Row],[Death benefit pay probability]]/Table1[[#This Row],[unconditional persistency AT ISSUE]]</f>
        <v>1.8236919171350587</v>
      </c>
      <c r="N109" s="44">
        <f>Table1[[#This Row],[one-year conditional mortality AT ISSUE]]/Table1[[#This Row],[one-year conditional persistency AT ISSUE]]</f>
        <v>1.823691917135059</v>
      </c>
      <c r="O109" s="4">
        <f>(1+$B$14)^(Table1[[#This Row],[age since issue]]-$A$17)</f>
        <v>23.687115677029091</v>
      </c>
      <c r="P109" s="5">
        <f>(Table1[[#This Row],[level premium unmarked-up]]*Table1[[#This Row],[unconditional persistency AT ISSUE]]-Table1[[#This Row],[Death benefit pay probability]])</f>
        <v>-1.7476062521095949E-7</v>
      </c>
      <c r="Q109" s="4">
        <f>Table1[[#This Row],[Issuer profit with unmarked-up level premium]]/Table1[[#This Row],[Issuer discounter at issue]]</f>
        <v>-7.3778769688044388E-9</v>
      </c>
      <c r="R109" s="4">
        <f>(Table1[[#This Row],[variable premium unmarked up]]*Table1[[#This Row],[unconditional persistency AT ISSUE]]-Table1[[#This Row],[Death benefit pay probability]])</f>
        <v>0</v>
      </c>
      <c r="S109" s="6">
        <f>Table1[[#This Row],[level premium unmarked-up]]*(1+$B$15)</f>
        <v>1.9910109748700498E-3</v>
      </c>
      <c r="T109" s="6">
        <f>MIN(Table1[[#This Row],[variable premium unmarked up]]*(1+$B$15),1)</f>
        <v>1</v>
      </c>
      <c r="U109" s="6">
        <f>Table1[[#This Row],[level premium marked up]]-Table1[[#This Row],[variable premium marked up]]</f>
        <v>-0.99800898902512991</v>
      </c>
      <c r="V109" s="6">
        <f>Table1[[#This Row],[additional cash]]+V108*(1+$D$2)</f>
        <v>-15.590447732891997</v>
      </c>
      <c r="W109" s="12">
        <v>0.5</v>
      </c>
      <c r="X109" s="13">
        <f>1-Table1[[#This Row],[one-year conditional mortality NOW]]</f>
        <v>0.5</v>
      </c>
      <c r="Y109" s="49">
        <f>PRODUCT(X$17:X109)</f>
        <v>2.4669942039345647E-5</v>
      </c>
      <c r="Z109" s="13">
        <f>Table1[[#This Row],[one-year conditional survival NOW]]*(1-Table1[[#This Row],[Lapse rate]])</f>
        <v>0.48399999999999999</v>
      </c>
      <c r="AA109" s="13">
        <f>PRODUCT(Z$17:Z109)</f>
        <v>1.1896849538177177E-6</v>
      </c>
      <c r="AB109" s="50">
        <f>Y108*Table1[[#This Row],[one-year conditional mortality NOW]]</f>
        <v>2.4669942039345647E-5</v>
      </c>
      <c r="AC109" s="14">
        <v>1.9699999999999999E-2</v>
      </c>
      <c r="AD109" s="28">
        <f>(1+Table1[[#This Row],[Yield curve now]])^(Table1[[#This Row],[age since issue]]-$A$23)</f>
        <v>5.3533798514388877</v>
      </c>
      <c r="AE109" s="46">
        <f t="shared" si="4"/>
        <v>4.8697856626689289</v>
      </c>
      <c r="AF109" s="42">
        <f>1-Table1[[#This Row],[cumulative debt until t]]</f>
        <v>-3.8697856626689289</v>
      </c>
      <c r="AG109" s="46">
        <f>Table1[[#This Row],[cumulative debt until t]]*Table1[[#This Row],[Unconditional mortality NOW]]/Table1[[#This Row],[discouter with yield curve]]</f>
        <v>2.2441398401757023E-5</v>
      </c>
      <c r="AH109" s="48">
        <f>Table1[[#This Row],[Unconditional mortality NOW]]/Table1[[#This Row],[discouter with yield curve]]</f>
        <v>4.6082928400298052E-6</v>
      </c>
      <c r="AI109" s="29">
        <f>Table1[[#This Row],[user profit (death benefit - debt)]]*Table1[[#This Row],[Unconditional mortality NOW]]/Table1[[#This Row],[discouter with yield curve]]</f>
        <v>-1.7833105561727216E-5</v>
      </c>
      <c r="AJ109" s="29">
        <f>(1+$D$4)^(Table1[[#This Row],[age since issue]]-$A$23)</f>
        <v>165964.14404253985</v>
      </c>
      <c r="AK109" s="57">
        <f>Table1[[#This Row],[level premium marked up]]*Table1[[#This Row],[unconditional survival NOW]]</f>
        <v>4.9118125349745198E-8</v>
      </c>
      <c r="AL109" s="62">
        <f>Table1[[#This Row],[cumulative debt until t]]*Table1[[#This Row],[Unconditional mortality NOW]]</f>
        <v>1.201373300420789E-4</v>
      </c>
      <c r="AM109" s="47">
        <f>Table1[[#This Row],[probablistic premium stream]]/Table1[[#This Row],[lender discounter]]</f>
        <v>2.9595624785770151E-13</v>
      </c>
      <c r="AN109" s="58">
        <f>Table1[[#This Row],[probablistic repay from borrower]]/Table1[[#This Row],[lender discounter]]</f>
        <v>7.238752125355786E-10</v>
      </c>
      <c r="AO109" s="47">
        <f>(Table1[[#This Row],[probablistic repay from borrower]]-Table1[[#This Row],[probablistic premium stream]])/Table1[[#This Row],[lender discounter]]</f>
        <v>7.2357925628772085E-10</v>
      </c>
      <c r="AP109" s="46">
        <f>AP108*(1+$D$4)+ Table1[[#This Row],[level premium marked up]]</f>
        <v>2533.3327069745201</v>
      </c>
      <c r="AQ109" s="58">
        <f>AP109*Table1[[#This Row],[Unconditional mortality NOW]]</f>
        <v>6.2497171047440021E-2</v>
      </c>
      <c r="AR109" s="60">
        <f>Table1[[#This Row],[cumulative debt until t]]*Table1[[#This Row],[Unconditional mortality NOW]]</f>
        <v>1.201373300420789E-4</v>
      </c>
      <c r="AS109" s="58">
        <f>Table1[[#This Row],[lender to pay cumulative probablistic undiscounted]]/Table1[[#This Row],[lender discounter]]</f>
        <v>3.7657032130639484E-7</v>
      </c>
    </row>
    <row r="110" spans="1:45" s="3" customFormat="1">
      <c r="A110" s="3">
        <v>114</v>
      </c>
      <c r="B110" s="8">
        <v>3.2000000000000001E-2</v>
      </c>
      <c r="C110" s="3">
        <v>0</v>
      </c>
      <c r="D110" s="8">
        <v>3.2000000000000001E-2</v>
      </c>
      <c r="E110" s="12">
        <v>0.67540999999999995</v>
      </c>
      <c r="F110" s="13">
        <f>1-Table1[[#This Row],[one-year conditional mortality AT ISSUE]]</f>
        <v>0.32459000000000005</v>
      </c>
      <c r="G110" s="13">
        <f>PRODUCT(F$17:F110)</f>
        <v>9.442233210963411E-7</v>
      </c>
      <c r="H110" s="13">
        <f>Table1[[#This Row],[one-year conditional survival AT ISSUE]]*(1-Table1[[#This Row],[Lapse rate]])</f>
        <v>0.31420312000000006</v>
      </c>
      <c r="I110" s="13">
        <f>PRODUCT(H$17:H110)</f>
        <v>3.0142343075502472E-8</v>
      </c>
      <c r="J110" s="13">
        <f>G109*Table1[[#This Row],[one-year conditional mortality AT ISSUE]]</f>
        <v>1.9647489858026422E-6</v>
      </c>
      <c r="K110" s="10">
        <f>I109*Table1[[#This Row],[one-year conditional mortality AT ISSUE]]</f>
        <v>6.4793882176043053E-8</v>
      </c>
      <c r="L110" s="3">
        <f t="shared" si="3"/>
        <v>1.9910109748700498E-3</v>
      </c>
      <c r="M110" s="44">
        <f>Table1[[#This Row],[Death benefit pay probability]]/Table1[[#This Row],[unconditional persistency AT ISSUE]]</f>
        <v>2.1495967322030403</v>
      </c>
      <c r="N110" s="44">
        <f>Table1[[#This Row],[one-year conditional mortality AT ISSUE]]/Table1[[#This Row],[one-year conditional persistency AT ISSUE]]</f>
        <v>2.1495967322030407</v>
      </c>
      <c r="O110" s="4">
        <f>(1+$B$14)^(Table1[[#This Row],[age since issue]]-$A$17)</f>
        <v>24.516164725725105</v>
      </c>
      <c r="P110" s="5">
        <f>(Table1[[#This Row],[level premium unmarked-up]]*Table1[[#This Row],[unconditional persistency AT ISSUE]]-Table1[[#This Row],[Death benefit pay probability]])</f>
        <v>-6.4733868440171431E-8</v>
      </c>
      <c r="Q110" s="4">
        <f>Table1[[#This Row],[Issuer profit with unmarked-up level premium]]/Table1[[#This Row],[Issuer discounter at issue]]</f>
        <v>-2.6404565789299582E-9</v>
      </c>
      <c r="R110" s="4">
        <f>(Table1[[#This Row],[variable premium unmarked up]]*Table1[[#This Row],[unconditional persistency AT ISSUE]]-Table1[[#This Row],[Death benefit pay probability]])</f>
        <v>0</v>
      </c>
      <c r="S110" s="6">
        <f>Table1[[#This Row],[level premium unmarked-up]]*(1+$B$15)</f>
        <v>1.9910109748700498E-3</v>
      </c>
      <c r="T110" s="6">
        <f>MIN(Table1[[#This Row],[variable premium unmarked up]]*(1+$B$15),1)</f>
        <v>1</v>
      </c>
      <c r="U110" s="6">
        <f>Table1[[#This Row],[level premium marked up]]-Table1[[#This Row],[variable premium marked up]]</f>
        <v>-0.99800898902512991</v>
      </c>
      <c r="V110" s="6">
        <f>Table1[[#This Row],[additional cash]]+V109*(1+$D$2)</f>
        <v>-16.604047169650016</v>
      </c>
      <c r="W110" s="12">
        <v>0.5</v>
      </c>
      <c r="X110" s="13">
        <f>1-Table1[[#This Row],[one-year conditional mortality NOW]]</f>
        <v>0.5</v>
      </c>
      <c r="Y110" s="49">
        <f>PRODUCT(X$17:X110)</f>
        <v>1.2334971019672823E-5</v>
      </c>
      <c r="Z110" s="13">
        <f>Table1[[#This Row],[one-year conditional survival NOW]]*(1-Table1[[#This Row],[Lapse rate]])</f>
        <v>0.48399999999999999</v>
      </c>
      <c r="AA110" s="13">
        <f>PRODUCT(Z$17:Z110)</f>
        <v>5.7580751764777534E-7</v>
      </c>
      <c r="AB110" s="50">
        <f>Y109*Table1[[#This Row],[one-year conditional mortality NOW]]</f>
        <v>1.2334971019672823E-5</v>
      </c>
      <c r="AC110" s="14">
        <v>1.9699999999999999E-2</v>
      </c>
      <c r="AD110" s="28">
        <f>(1+Table1[[#This Row],[Yield curve now]])^(Table1[[#This Row],[age since issue]]-$A$23)</f>
        <v>5.4588414345122338</v>
      </c>
      <c r="AE110" s="46">
        <f t="shared" si="4"/>
        <v>5.1586129104455249</v>
      </c>
      <c r="AF110" s="42">
        <f>1-Table1[[#This Row],[cumulative debt until t]]</f>
        <v>-4.1586129104455249</v>
      </c>
      <c r="AG110" s="46">
        <f>Table1[[#This Row],[cumulative debt until t]]*Table1[[#This Row],[Unconditional mortality NOW]]/Table1[[#This Row],[discouter with yield curve]]</f>
        <v>1.1656565136653637E-5</v>
      </c>
      <c r="AH110" s="48">
        <f>Table1[[#This Row],[Unconditional mortality NOW]]/Table1[[#This Row],[discouter with yield curve]]</f>
        <v>2.259631675997747E-6</v>
      </c>
      <c r="AI110" s="29">
        <f>Table1[[#This Row],[user profit (death benefit - debt)]]*Table1[[#This Row],[Unconditional mortality NOW]]/Table1[[#This Row],[discouter with yield curve]]</f>
        <v>-9.3969334606558885E-6</v>
      </c>
      <c r="AJ110" s="29">
        <f>(1+$D$4)^(Table1[[#This Row],[age since issue]]-$A$23)</f>
        <v>190858.76564892079</v>
      </c>
      <c r="AK110" s="57">
        <f>Table1[[#This Row],[level premium marked up]]*Table1[[#This Row],[unconditional survival NOW]]</f>
        <v>2.4559062674872599E-8</v>
      </c>
      <c r="AL110" s="62">
        <f>Table1[[#This Row],[cumulative debt until t]]*Table1[[#This Row],[Unconditional mortality NOW]]</f>
        <v>6.3631340752055629E-5</v>
      </c>
      <c r="AM110" s="47">
        <f>Table1[[#This Row],[probablistic premium stream]]/Table1[[#This Row],[lender discounter]]</f>
        <v>1.286766295033485E-13</v>
      </c>
      <c r="AN110" s="58">
        <f>Table1[[#This Row],[probablistic repay from borrower]]/Table1[[#This Row],[lender discounter]]</f>
        <v>3.3339490872063824E-10</v>
      </c>
      <c r="AO110" s="47">
        <f>(Table1[[#This Row],[probablistic repay from borrower]]-Table1[[#This Row],[probablistic premium stream]])/Table1[[#This Row],[lender discounter]]</f>
        <v>3.3326623209113491E-10</v>
      </c>
      <c r="AP110" s="46">
        <f>AP109*(1+$D$4)+ Table1[[#This Row],[level premium marked up]]</f>
        <v>2913.3346040316728</v>
      </c>
      <c r="AQ110" s="58">
        <f>AP110*Table1[[#This Row],[Unconditional mortality NOW]]</f>
        <v>3.5935897911340685E-2</v>
      </c>
      <c r="AR110" s="60">
        <f>Table1[[#This Row],[cumulative debt until t]]*Table1[[#This Row],[Unconditional mortality NOW]]</f>
        <v>6.3631340752055629E-5</v>
      </c>
      <c r="AS110" s="58">
        <f>Table1[[#This Row],[lender to pay cumulative probablistic undiscounted]]/Table1[[#This Row],[lender discounter]]</f>
        <v>1.8828528932982694E-7</v>
      </c>
    </row>
    <row r="111" spans="1:45" s="3" customFormat="1">
      <c r="A111" s="3">
        <v>115</v>
      </c>
      <c r="B111" s="8">
        <v>3.2000000000000001E-2</v>
      </c>
      <c r="C111" s="3">
        <v>0</v>
      </c>
      <c r="D111" s="8">
        <v>3.2000000000000001E-2</v>
      </c>
      <c r="E111" s="12">
        <v>0.71457999999999999</v>
      </c>
      <c r="F111" s="13">
        <f>1-Table1[[#This Row],[one-year conditional mortality AT ISSUE]]</f>
        <v>0.28542000000000001</v>
      </c>
      <c r="G111" s="13">
        <f>PRODUCT(F$17:F111)</f>
        <v>2.6950022030731766E-7</v>
      </c>
      <c r="H111" s="13">
        <f>Table1[[#This Row],[one-year conditional survival AT ISSUE]]*(1-Table1[[#This Row],[Lapse rate]])</f>
        <v>0.27628656000000001</v>
      </c>
      <c r="I111" s="13">
        <f>PRODUCT(H$17:H111)</f>
        <v>8.3279242786703994E-9</v>
      </c>
      <c r="J111" s="13">
        <f>G110*Table1[[#This Row],[one-year conditional mortality AT ISSUE]]</f>
        <v>6.7472310078902338E-7</v>
      </c>
      <c r="K111" s="10">
        <f>I110*Table1[[#This Row],[one-year conditional mortality AT ISSUE]]</f>
        <v>2.1539115514892557E-8</v>
      </c>
      <c r="L111" s="3">
        <f t="shared" si="3"/>
        <v>1.9910109748700498E-3</v>
      </c>
      <c r="M111" s="44">
        <f>Table1[[#This Row],[Death benefit pay probability]]/Table1[[#This Row],[unconditional persistency AT ISSUE]]</f>
        <v>2.5863726415067019</v>
      </c>
      <c r="N111" s="44">
        <f>Table1[[#This Row],[one-year conditional mortality AT ISSUE]]/Table1[[#This Row],[one-year conditional persistency AT ISSUE]]</f>
        <v>2.5863726415067023</v>
      </c>
      <c r="O111" s="4">
        <f>(1+$B$14)^(Table1[[#This Row],[age since issue]]-$A$17)</f>
        <v>25.374230491125484</v>
      </c>
      <c r="P111" s="5">
        <f>(Table1[[#This Row],[level premium unmarked-up]]*Table1[[#This Row],[unconditional persistency AT ISSUE]]-Table1[[#This Row],[Death benefit pay probability]])</f>
        <v>-2.1522534526255837E-8</v>
      </c>
      <c r="Q111" s="4">
        <f>Table1[[#This Row],[Issuer profit with unmarked-up level premium]]/Table1[[#This Row],[Issuer discounter at issue]]</f>
        <v>-8.4820442274232673E-10</v>
      </c>
      <c r="R111" s="4">
        <f>(Table1[[#This Row],[variable premium unmarked up]]*Table1[[#This Row],[unconditional persistency AT ISSUE]]-Table1[[#This Row],[Death benefit pay probability]])</f>
        <v>0</v>
      </c>
      <c r="S111" s="6">
        <f>Table1[[#This Row],[level premium unmarked-up]]*(1+$B$15)</f>
        <v>1.9910109748700498E-3</v>
      </c>
      <c r="T111" s="6">
        <f>MIN(Table1[[#This Row],[variable premium unmarked up]]*(1+$B$15),1)</f>
        <v>1</v>
      </c>
      <c r="U111" s="6">
        <f>Table1[[#This Row],[level premium marked up]]-Table1[[#This Row],[variable premium marked up]]</f>
        <v>-0.99800898902512991</v>
      </c>
      <c r="V111" s="6">
        <f>Table1[[#This Row],[additional cash]]+V110*(1+$D$2)</f>
        <v>-17.618660205844794</v>
      </c>
      <c r="W111" s="12">
        <v>0.5</v>
      </c>
      <c r="X111" s="13">
        <f>1-Table1[[#This Row],[one-year conditional mortality NOW]]</f>
        <v>0.5</v>
      </c>
      <c r="Y111" s="49">
        <f>PRODUCT(X$17:X111)</f>
        <v>6.1674855098364117E-6</v>
      </c>
      <c r="Z111" s="13">
        <f>Table1[[#This Row],[one-year conditional survival NOW]]*(1-Table1[[#This Row],[Lapse rate]])</f>
        <v>0.48399999999999999</v>
      </c>
      <c r="AA111" s="13">
        <f>PRODUCT(Z$17:Z111)</f>
        <v>2.7869083854152324E-7</v>
      </c>
      <c r="AB111" s="50">
        <f>Y110*Table1[[#This Row],[one-year conditional mortality NOW]]</f>
        <v>6.1674855098364117E-6</v>
      </c>
      <c r="AC111" s="14">
        <v>1.9699999999999999E-2</v>
      </c>
      <c r="AD111" s="28">
        <f>(1+Table1[[#This Row],[Yield curve now]])^(Table1[[#This Row],[age since issue]]-$A$23)</f>
        <v>5.5663806107721259</v>
      </c>
      <c r="AE111" s="46">
        <f t="shared" si="4"/>
        <v>5.4644454781265068</v>
      </c>
      <c r="AF111" s="42">
        <f>1-Table1[[#This Row],[cumulative debt until t]]</f>
        <v>-4.4644454781265068</v>
      </c>
      <c r="AG111" s="46">
        <f>Table1[[#This Row],[cumulative debt until t]]*Table1[[#This Row],[Unconditional mortality NOW]]/Table1[[#This Row],[discouter with yield curve]]</f>
        <v>6.0545425586629911E-6</v>
      </c>
      <c r="AH111" s="48">
        <f>Table1[[#This Row],[Unconditional mortality NOW]]/Table1[[#This Row],[discouter with yield curve]]</f>
        <v>1.107988465233768E-6</v>
      </c>
      <c r="AI111" s="29">
        <f>Table1[[#This Row],[user profit (death benefit - debt)]]*Table1[[#This Row],[Unconditional mortality NOW]]/Table1[[#This Row],[discouter with yield curve]]</f>
        <v>-4.9465540934292242E-6</v>
      </c>
      <c r="AJ111" s="29">
        <f>(1+$D$4)^(Table1[[#This Row],[age since issue]]-$A$23)</f>
        <v>219487.58049625886</v>
      </c>
      <c r="AK111" s="57">
        <f>Table1[[#This Row],[level premium marked up]]*Table1[[#This Row],[unconditional survival NOW]]</f>
        <v>1.22795313374363E-8</v>
      </c>
      <c r="AL111" s="62">
        <f>Table1[[#This Row],[cumulative debt until t]]*Table1[[#This Row],[Unconditional mortality NOW]]</f>
        <v>3.3701888305636332E-5</v>
      </c>
      <c r="AM111" s="47">
        <f>Table1[[#This Row],[probablistic premium stream]]/Table1[[#This Row],[lender discounter]]</f>
        <v>5.5946360653629796E-14</v>
      </c>
      <c r="AN111" s="58">
        <f>Table1[[#This Row],[probablistic repay from borrower]]/Table1[[#This Row],[lender discounter]]</f>
        <v>1.5354804235135654E-10</v>
      </c>
      <c r="AO111" s="47">
        <f>(Table1[[#This Row],[probablistic repay from borrower]]-Table1[[#This Row],[probablistic premium stream]])/Table1[[#This Row],[lender discounter]]</f>
        <v>1.534920959907029E-10</v>
      </c>
      <c r="AP111" s="46">
        <f>AP110*(1+$D$4)+ Table1[[#This Row],[level premium marked up]]</f>
        <v>3350.3367856473983</v>
      </c>
      <c r="AQ111" s="58">
        <f>AP111*Table1[[#This Row],[Unconditional mortality NOW]]</f>
        <v>2.0663153578552231E-2</v>
      </c>
      <c r="AR111" s="60">
        <f>Table1[[#This Row],[cumulative debt until t]]*Table1[[#This Row],[Unconditional mortality NOW]]</f>
        <v>3.3701888305636332E-5</v>
      </c>
      <c r="AS111" s="58">
        <f>Table1[[#This Row],[lender to pay cumulative probablistic undiscounted]]/Table1[[#This Row],[lender discounter]]</f>
        <v>9.4142700611274133E-8</v>
      </c>
    </row>
    <row r="112" spans="1:45" s="3" customFormat="1">
      <c r="A112" s="3">
        <v>116</v>
      </c>
      <c r="B112" s="8">
        <v>3.2000000000000001E-2</v>
      </c>
      <c r="C112" s="3">
        <v>0</v>
      </c>
      <c r="D112" s="8">
        <v>3.2000000000000001E-2</v>
      </c>
      <c r="E112" s="12">
        <v>0.75602999999999998</v>
      </c>
      <c r="F112" s="13">
        <f>1-Table1[[#This Row],[one-year conditional mortality AT ISSUE]]</f>
        <v>0.24397000000000002</v>
      </c>
      <c r="G112" s="13">
        <f>PRODUCT(F$17:F112)</f>
        <v>6.57499687483763E-8</v>
      </c>
      <c r="H112" s="13">
        <f>Table1[[#This Row],[one-year conditional survival AT ISSUE]]*(1-Table1[[#This Row],[Lapse rate]])</f>
        <v>0.23616296000000001</v>
      </c>
      <c r="I112" s="13">
        <f>PRODUCT(H$17:H112)</f>
        <v>1.9667472483066666E-9</v>
      </c>
      <c r="J112" s="13">
        <f>G111*Table1[[#This Row],[one-year conditional mortality AT ISSUE]]</f>
        <v>2.0375025155894136E-7</v>
      </c>
      <c r="K112" s="10">
        <f>I111*Table1[[#This Row],[one-year conditional mortality AT ISSUE]]</f>
        <v>6.296160592403182E-9</v>
      </c>
      <c r="L112" s="3">
        <f t="shared" si="3"/>
        <v>1.9910109748700498E-3</v>
      </c>
      <c r="M112" s="44">
        <f>Table1[[#This Row],[Death benefit pay probability]]/Table1[[#This Row],[unconditional persistency AT ISSUE]]</f>
        <v>3.2013064199398582</v>
      </c>
      <c r="N112" s="44">
        <f>Table1[[#This Row],[one-year conditional mortality AT ISSUE]]/Table1[[#This Row],[one-year conditional persistency AT ISSUE]]</f>
        <v>3.2013064199398582</v>
      </c>
      <c r="O112" s="4">
        <f>(1+$B$14)^(Table1[[#This Row],[age since issue]]-$A$17)</f>
        <v>26.262328558314874</v>
      </c>
      <c r="P112" s="5">
        <f>(Table1[[#This Row],[level premium unmarked-up]]*Table1[[#This Row],[unconditional persistency AT ISSUE]]-Table1[[#This Row],[Death benefit pay probability]])</f>
        <v>-6.2922447770470082E-9</v>
      </c>
      <c r="Q112" s="4">
        <f>Table1[[#This Row],[Issuer profit with unmarked-up level premium]]/Table1[[#This Row],[Issuer discounter at issue]]</f>
        <v>-2.3959203629164978E-10</v>
      </c>
      <c r="R112" s="4">
        <f>(Table1[[#This Row],[variable premium unmarked up]]*Table1[[#This Row],[unconditional persistency AT ISSUE]]-Table1[[#This Row],[Death benefit pay probability]])</f>
        <v>0</v>
      </c>
      <c r="S112" s="6">
        <f>Table1[[#This Row],[level premium unmarked-up]]*(1+$B$15)</f>
        <v>1.9910109748700498E-3</v>
      </c>
      <c r="T112" s="6">
        <f>MIN(Table1[[#This Row],[variable premium unmarked up]]*(1+$B$15),1)</f>
        <v>1</v>
      </c>
      <c r="U112" s="6">
        <f>Table1[[#This Row],[level premium marked up]]-Table1[[#This Row],[variable premium marked up]]</f>
        <v>-0.99800898902512991</v>
      </c>
      <c r="V112" s="6">
        <f>Table1[[#This Row],[additional cash]]+V111*(1+$D$2)</f>
        <v>-18.634287855075769</v>
      </c>
      <c r="W112" s="12">
        <v>0.5</v>
      </c>
      <c r="X112" s="13">
        <f>1-Table1[[#This Row],[one-year conditional mortality NOW]]</f>
        <v>0.5</v>
      </c>
      <c r="Y112" s="49">
        <f>PRODUCT(X$17:X112)</f>
        <v>3.0837427549182058E-6</v>
      </c>
      <c r="Z112" s="13">
        <f>Table1[[#This Row],[one-year conditional survival NOW]]*(1-Table1[[#This Row],[Lapse rate]])</f>
        <v>0.48399999999999999</v>
      </c>
      <c r="AA112" s="13">
        <f>PRODUCT(Z$17:Z112)</f>
        <v>1.3488636585409724E-7</v>
      </c>
      <c r="AB112" s="50">
        <f>Y111*Table1[[#This Row],[one-year conditional mortality NOW]]</f>
        <v>3.0837427549182058E-6</v>
      </c>
      <c r="AC112" s="14">
        <v>1.9699999999999999E-2</v>
      </c>
      <c r="AD112" s="28">
        <f>(1+Table1[[#This Row],[Yield curve now]])^(Table1[[#This Row],[age since issue]]-$A$23)</f>
        <v>5.6760383088043369</v>
      </c>
      <c r="AE112" s="46">
        <f t="shared" si="4"/>
        <v>5.7882845901713971</v>
      </c>
      <c r="AF112" s="42">
        <f>1-Table1[[#This Row],[cumulative debt until t]]</f>
        <v>-4.7882845901713971</v>
      </c>
      <c r="AG112" s="46">
        <f>Table1[[#This Row],[cumulative debt until t]]*Table1[[#This Row],[Unconditional mortality NOW]]/Table1[[#This Row],[discouter with yield curve]]</f>
        <v>3.1447251933903479E-6</v>
      </c>
      <c r="AH112" s="48">
        <f>Table1[[#This Row],[Unconditional mortality NOW]]/Table1[[#This Row],[discouter with yield curve]]</f>
        <v>5.4329139219072668E-7</v>
      </c>
      <c r="AI112" s="29">
        <f>Table1[[#This Row],[user profit (death benefit - debt)]]*Table1[[#This Row],[Unconditional mortality NOW]]/Table1[[#This Row],[discouter with yield curve]]</f>
        <v>-2.6014338011996214E-6</v>
      </c>
      <c r="AJ112" s="29">
        <f>(1+$D$4)^(Table1[[#This Row],[age since issue]]-$A$23)</f>
        <v>252410.71757069769</v>
      </c>
      <c r="AK112" s="57">
        <f>Table1[[#This Row],[level premium marked up]]*Table1[[#This Row],[unconditional survival NOW]]</f>
        <v>6.1397656687181498E-9</v>
      </c>
      <c r="AL112" s="62">
        <f>Table1[[#This Row],[cumulative debt until t]]*Table1[[#This Row],[Unconditional mortality NOW]]</f>
        <v>1.7849580668345741E-5</v>
      </c>
      <c r="AM112" s="47">
        <f>Table1[[#This Row],[probablistic premium stream]]/Table1[[#This Row],[lender discounter]]</f>
        <v>2.4324504632012954E-14</v>
      </c>
      <c r="AN112" s="58">
        <f>Table1[[#This Row],[probablistic repay from borrower]]/Table1[[#This Row],[lender discounter]]</f>
        <v>7.0716413471413921E-11</v>
      </c>
      <c r="AO112" s="47">
        <f>(Table1[[#This Row],[probablistic repay from borrower]]-Table1[[#This Row],[probablistic premium stream]])/Table1[[#This Row],[lender discounter]]</f>
        <v>7.0692088966781914E-11</v>
      </c>
      <c r="AP112" s="46">
        <f>AP111*(1+$D$4)+ Table1[[#This Row],[level premium marked up]]</f>
        <v>3852.8892945054827</v>
      </c>
      <c r="AQ112" s="58">
        <f>AP112*Table1[[#This Row],[Unconditional mortality NOW]]</f>
        <v>1.1881319447433199E-2</v>
      </c>
      <c r="AR112" s="60">
        <f>Table1[[#This Row],[cumulative debt until t]]*Table1[[#This Row],[Unconditional mortality NOW]]</f>
        <v>1.7849580668345741E-5</v>
      </c>
      <c r="AS112" s="58">
        <f>Table1[[#This Row],[lender to pay cumulative probablistic undiscounted]]/Table1[[#This Row],[lender discounter]]</f>
        <v>4.7071374630141696E-8</v>
      </c>
    </row>
    <row r="113" spans="1:45" s="3" customFormat="1">
      <c r="A113" s="3">
        <v>117</v>
      </c>
      <c r="B113" s="8">
        <v>3.2000000000000001E-2</v>
      </c>
      <c r="C113" s="3">
        <v>0</v>
      </c>
      <c r="D113" s="8">
        <v>3.2000000000000001E-2</v>
      </c>
      <c r="E113" s="12">
        <v>0.79988000000000004</v>
      </c>
      <c r="F113" s="13">
        <f>1-Table1[[#This Row],[one-year conditional mortality AT ISSUE]]</f>
        <v>0.20011999999999996</v>
      </c>
      <c r="G113" s="13">
        <f>PRODUCT(F$17:F113)</f>
        <v>1.3157883745925063E-8</v>
      </c>
      <c r="H113" s="13">
        <f>Table1[[#This Row],[one-year conditional survival AT ISSUE]]*(1-Table1[[#This Row],[Lapse rate]])</f>
        <v>0.19371615999999997</v>
      </c>
      <c r="I113" s="13">
        <f>PRODUCT(H$17:H113)</f>
        <v>3.8099072463253387E-10</v>
      </c>
      <c r="J113" s="13">
        <f>G112*Table1[[#This Row],[one-year conditional mortality AT ISSUE]]</f>
        <v>5.2592085002451237E-8</v>
      </c>
      <c r="K113" s="10">
        <f>I112*Table1[[#This Row],[one-year conditional mortality AT ISSUE]]</f>
        <v>1.5731617889755365E-9</v>
      </c>
      <c r="L113" s="3">
        <f t="shared" ref="L113:L144" si="5">$B$1</f>
        <v>1.9910109748700498E-3</v>
      </c>
      <c r="M113" s="44">
        <f>Table1[[#This Row],[Death benefit pay probability]]/Table1[[#This Row],[unconditional persistency AT ISSUE]]</f>
        <v>4.129134089794058</v>
      </c>
      <c r="N113" s="44">
        <f>Table1[[#This Row],[one-year conditional mortality AT ISSUE]]/Table1[[#This Row],[one-year conditional persistency AT ISSUE]]</f>
        <v>4.129134089794058</v>
      </c>
      <c r="O113" s="4">
        <f>(1+$B$14)^(Table1[[#This Row],[age since issue]]-$A$17)</f>
        <v>27.181510057855888</v>
      </c>
      <c r="P113" s="5">
        <f>(Table1[[#This Row],[level premium unmarked-up]]*Table1[[#This Row],[unconditional persistency AT ISSUE]]-Table1[[#This Row],[Death benefit pay probability]])</f>
        <v>-1.5724032322614694E-9</v>
      </c>
      <c r="Q113" s="4">
        <f>Table1[[#This Row],[Issuer profit with unmarked-up level premium]]/Table1[[#This Row],[Issuer discounter at issue]]</f>
        <v>-5.7848266299944576E-11</v>
      </c>
      <c r="R113" s="4">
        <f>(Table1[[#This Row],[variable premium unmarked up]]*Table1[[#This Row],[unconditional persistency AT ISSUE]]-Table1[[#This Row],[Death benefit pay probability]])</f>
        <v>-2.0679515313825692E-25</v>
      </c>
      <c r="S113" s="6">
        <f>Table1[[#This Row],[level premium unmarked-up]]*(1+$B$15)</f>
        <v>1.9910109748700498E-3</v>
      </c>
      <c r="T113" s="6">
        <f>MIN(Table1[[#This Row],[variable premium unmarked up]]*(1+$B$15),1)</f>
        <v>1</v>
      </c>
      <c r="U113" s="6">
        <f>Table1[[#This Row],[level premium marked up]]-Table1[[#This Row],[variable premium marked up]]</f>
        <v>-0.99800898902512991</v>
      </c>
      <c r="V113" s="6">
        <f>Table1[[#This Row],[additional cash]]+V112*(1+$D$2)</f>
        <v>-19.650931131955975</v>
      </c>
      <c r="W113" s="12">
        <v>0.5</v>
      </c>
      <c r="X113" s="13">
        <f>1-Table1[[#This Row],[one-year conditional mortality NOW]]</f>
        <v>0.5</v>
      </c>
      <c r="Y113" s="49">
        <f>PRODUCT(X$17:X113)</f>
        <v>1.5418713774591029E-6</v>
      </c>
      <c r="Z113" s="13">
        <f>Table1[[#This Row],[one-year conditional survival NOW]]*(1-Table1[[#This Row],[Lapse rate]])</f>
        <v>0.48399999999999999</v>
      </c>
      <c r="AA113" s="13">
        <f>PRODUCT(Z$17:Z113)</f>
        <v>6.5285001073383066E-8</v>
      </c>
      <c r="AB113" s="50">
        <f>Y112*Table1[[#This Row],[one-year conditional mortality NOW]]</f>
        <v>1.5418713774591029E-6</v>
      </c>
      <c r="AC113" s="14">
        <v>1.9699999999999999E-2</v>
      </c>
      <c r="AD113" s="28">
        <f>(1+Table1[[#This Row],[Yield curve now]])^(Table1[[#This Row],[age since issue]]-$A$23)</f>
        <v>5.7878562634877824</v>
      </c>
      <c r="AE113" s="46">
        <f t="shared" si="4"/>
        <v>6.1311904202640779</v>
      </c>
      <c r="AF113" s="42">
        <f>1-Table1[[#This Row],[cumulative debt until t]]</f>
        <v>-5.1311904202640779</v>
      </c>
      <c r="AG113" s="46">
        <f>Table1[[#This Row],[cumulative debt until t]]*Table1[[#This Row],[Unconditional mortality NOW]]/Table1[[#This Row],[discouter with yield curve]]</f>
        <v>1.6333347941608889E-6</v>
      </c>
      <c r="AH113" s="48">
        <f>Table1[[#This Row],[Unconditional mortality NOW]]/Table1[[#This Row],[discouter with yield curve]]</f>
        <v>2.6639766215098886E-7</v>
      </c>
      <c r="AI113" s="29">
        <f>Table1[[#This Row],[user profit (death benefit - debt)]]*Table1[[#This Row],[Unconditional mortality NOW]]/Table1[[#This Row],[discouter with yield curve]]</f>
        <v>-1.3669371320099003E-6</v>
      </c>
      <c r="AJ113" s="29">
        <f>(1+$D$4)^(Table1[[#This Row],[age since issue]]-$A$23)</f>
        <v>290272.32520630234</v>
      </c>
      <c r="AK113" s="57">
        <f>Table1[[#This Row],[level premium marked up]]*Table1[[#This Row],[unconditional survival NOW]]</f>
        <v>3.0698828343590749E-9</v>
      </c>
      <c r="AL113" s="62">
        <f>Table1[[#This Row],[cumulative debt until t]]*Table1[[#This Row],[Unconditional mortality NOW]]</f>
        <v>9.4535070187566292E-6</v>
      </c>
      <c r="AM113" s="47">
        <f>Table1[[#This Row],[probablistic premium stream]]/Table1[[#This Row],[lender discounter]]</f>
        <v>1.0575871579136067E-14</v>
      </c>
      <c r="AN113" s="58">
        <f>Table1[[#This Row],[probablistic repay from borrower]]/Table1[[#This Row],[lender discounter]]</f>
        <v>3.2567717270455707E-11</v>
      </c>
      <c r="AO113" s="47">
        <f>(Table1[[#This Row],[probablistic repay from borrower]]-Table1[[#This Row],[probablistic premium stream]])/Table1[[#This Row],[lender discounter]]</f>
        <v>3.2557141398876578E-11</v>
      </c>
      <c r="AP113" s="46">
        <f>AP112*(1+$D$4)+ Table1[[#This Row],[level premium marked up]]</f>
        <v>4430.8246796922795</v>
      </c>
      <c r="AQ113" s="58">
        <f>AP113*Table1[[#This Row],[Unconditional mortality NOW]]</f>
        <v>6.8317617521569231E-3</v>
      </c>
      <c r="AR113" s="60">
        <f>Table1[[#This Row],[cumulative debt until t]]*Table1[[#This Row],[Unconditional mortality NOW]]</f>
        <v>9.4535070187566292E-6</v>
      </c>
      <c r="AS113" s="58">
        <f>Table1[[#This Row],[lender to pay cumulative probablistic undiscounted]]/Table1[[#This Row],[lender discounter]]</f>
        <v>2.3535697890942423E-8</v>
      </c>
    </row>
    <row r="114" spans="1:45" s="3" customFormat="1">
      <c r="A114" s="3">
        <v>118</v>
      </c>
      <c r="B114" s="8">
        <v>3.2000000000000001E-2</v>
      </c>
      <c r="C114" s="3">
        <v>0</v>
      </c>
      <c r="D114" s="8">
        <v>3.2000000000000001E-2</v>
      </c>
      <c r="E114" s="12">
        <v>0.84626999999999997</v>
      </c>
      <c r="F114" s="13">
        <f>1-Table1[[#This Row],[one-year conditional mortality AT ISSUE]]</f>
        <v>0.15373000000000003</v>
      </c>
      <c r="G114" s="13">
        <f>PRODUCT(F$17:F114)</f>
        <v>2.0227614682610603E-9</v>
      </c>
      <c r="H114" s="13">
        <f>Table1[[#This Row],[one-year conditional survival AT ISSUE]]*(1-Table1[[#This Row],[Lapse rate]])</f>
        <v>0.14881064000000002</v>
      </c>
      <c r="I114" s="13">
        <f>PRODUCT(H$17:H114)</f>
        <v>5.669547356663114E-11</v>
      </c>
      <c r="J114" s="13">
        <f>G113*Table1[[#This Row],[one-year conditional mortality AT ISSUE]]</f>
        <v>1.1135122277664002E-8</v>
      </c>
      <c r="K114" s="10">
        <f>I113*Table1[[#This Row],[one-year conditional mortality AT ISSUE]]</f>
        <v>3.2242102053477444E-10</v>
      </c>
      <c r="L114" s="3">
        <f t="shared" si="5"/>
        <v>1.9910109748700498E-3</v>
      </c>
      <c r="M114" s="44">
        <f>Table1[[#This Row],[Death benefit pay probability]]/Table1[[#This Row],[unconditional persistency AT ISSUE]]</f>
        <v>5.6868917437624074</v>
      </c>
      <c r="N114" s="44">
        <f>Table1[[#This Row],[one-year conditional mortality AT ISSUE]]/Table1[[#This Row],[one-year conditional persistency AT ISSUE]]</f>
        <v>5.6868917437624074</v>
      </c>
      <c r="O114" s="4">
        <f>(1+$B$14)^(Table1[[#This Row],[age since issue]]-$A$17)</f>
        <v>28.132862909880842</v>
      </c>
      <c r="P114" s="5">
        <f>(Table1[[#This Row],[level premium unmarked-up]]*Table1[[#This Row],[unconditional persistency AT ISSUE]]-Table1[[#This Row],[Death benefit pay probability]])</f>
        <v>-3.223081392246778E-10</v>
      </c>
      <c r="Q114" s="4">
        <f>Table1[[#This Row],[Issuer profit with unmarked-up level premium]]/Table1[[#This Row],[Issuer discounter at issue]]</f>
        <v>-1.1456642015323529E-11</v>
      </c>
      <c r="R114" s="4">
        <f>(Table1[[#This Row],[variable premium unmarked up]]*Table1[[#This Row],[unconditional persistency AT ISSUE]]-Table1[[#This Row],[Death benefit pay probability]])</f>
        <v>0</v>
      </c>
      <c r="S114" s="6">
        <f>Table1[[#This Row],[level premium unmarked-up]]*(1+$B$15)</f>
        <v>1.9910109748700498E-3</v>
      </c>
      <c r="T114" s="6">
        <f>MIN(Table1[[#This Row],[variable premium unmarked up]]*(1+$B$15),1)</f>
        <v>1</v>
      </c>
      <c r="U114" s="6">
        <f>Table1[[#This Row],[level premium marked up]]-Table1[[#This Row],[variable premium marked up]]</f>
        <v>-0.99800898902512991</v>
      </c>
      <c r="V114" s="6">
        <f>Table1[[#This Row],[additional cash]]+V113*(1+$D$2)</f>
        <v>-20.668591052113058</v>
      </c>
      <c r="W114" s="12">
        <v>0.5</v>
      </c>
      <c r="X114" s="13">
        <f>1-Table1[[#This Row],[one-year conditional mortality NOW]]</f>
        <v>0.5</v>
      </c>
      <c r="Y114" s="49">
        <f>PRODUCT(X$17:X114)</f>
        <v>7.7093568872955146E-7</v>
      </c>
      <c r="Z114" s="13">
        <f>Table1[[#This Row],[one-year conditional survival NOW]]*(1-Table1[[#This Row],[Lapse rate]])</f>
        <v>0.48399999999999999</v>
      </c>
      <c r="AA114" s="13">
        <f>PRODUCT(Z$17:Z114)</f>
        <v>3.1597940519517405E-8</v>
      </c>
      <c r="AB114" s="50">
        <f>Y113*Table1[[#This Row],[one-year conditional mortality NOW]]</f>
        <v>7.7093568872955146E-7</v>
      </c>
      <c r="AC114" s="14">
        <v>1.9699999999999999E-2</v>
      </c>
      <c r="AD114" s="28">
        <f>(1+Table1[[#This Row],[Yield curve now]])^(Table1[[#This Row],[age since issue]]-$A$23)</f>
        <v>5.9018770318784917</v>
      </c>
      <c r="AE114" s="46">
        <f t="shared" si="4"/>
        <v>6.4942855620740358</v>
      </c>
      <c r="AF114" s="42">
        <f>1-Table1[[#This Row],[cumulative debt until t]]</f>
        <v>-5.4942855620740358</v>
      </c>
      <c r="AG114" s="46">
        <f>Table1[[#This Row],[cumulative debt until t]]*Table1[[#This Row],[Unconditional mortality NOW]]/Table1[[#This Row],[discouter with yield curve]]</f>
        <v>8.4831935425980364E-7</v>
      </c>
      <c r="AH114" s="48">
        <f>Table1[[#This Row],[Unconditional mortality NOW]]/Table1[[#This Row],[discouter with yield curve]]</f>
        <v>1.3062550855692303E-7</v>
      </c>
      <c r="AI114" s="29">
        <f>Table1[[#This Row],[user profit (death benefit - debt)]]*Table1[[#This Row],[Unconditional mortality NOW]]/Table1[[#This Row],[discouter with yield curve]]</f>
        <v>-7.1769384570288058E-7</v>
      </c>
      <c r="AJ114" s="29">
        <f>(1+$D$4)^(Table1[[#This Row],[age since issue]]-$A$23)</f>
        <v>333813.17398724763</v>
      </c>
      <c r="AK114" s="57">
        <f>Table1[[#This Row],[level premium marked up]]*Table1[[#This Row],[unconditional survival NOW]]</f>
        <v>1.5349414171795374E-9</v>
      </c>
      <c r="AL114" s="62">
        <f>Table1[[#This Row],[cumulative debt until t]]*Table1[[#This Row],[Unconditional mortality NOW]]</f>
        <v>5.0066765126039288E-6</v>
      </c>
      <c r="AM114" s="47">
        <f>Table1[[#This Row],[probablistic premium stream]]/Table1[[#This Row],[lender discounter]]</f>
        <v>4.5982050344069868E-15</v>
      </c>
      <c r="AN114" s="58">
        <f>Table1[[#This Row],[probablistic repay from borrower]]/Table1[[#This Row],[lender discounter]]</f>
        <v>1.4998438955543421E-11</v>
      </c>
      <c r="AO114" s="47">
        <f>(Table1[[#This Row],[probablistic repay from borrower]]-Table1[[#This Row],[probablistic premium stream]])/Table1[[#This Row],[lender discounter]]</f>
        <v>1.4993840750509014E-11</v>
      </c>
      <c r="AP114" s="46">
        <f>AP113*(1+$D$4)+ Table1[[#This Row],[level premium marked up]]</f>
        <v>5095.4503726570956</v>
      </c>
      <c r="AQ114" s="58">
        <f>AP114*Table1[[#This Row],[Unconditional mortality NOW]]</f>
        <v>3.9282645424316472E-3</v>
      </c>
      <c r="AR114" s="60">
        <f>Table1[[#This Row],[cumulative debt until t]]*Table1[[#This Row],[Unconditional mortality NOW]]</f>
        <v>5.0066765126039288E-6</v>
      </c>
      <c r="AS114" s="58">
        <f>Table1[[#This Row],[lender to pay cumulative probablistic undiscounted]]/Table1[[#This Row],[lender discounter]]</f>
        <v>1.1767853543676246E-8</v>
      </c>
    </row>
    <row r="115" spans="1:45" s="3" customFormat="1">
      <c r="A115" s="3">
        <v>119</v>
      </c>
      <c r="B115" s="8">
        <v>3.2000000000000001E-2</v>
      </c>
      <c r="C115" s="3">
        <v>0</v>
      </c>
      <c r="D115" s="8">
        <v>3.2000000000000001E-2</v>
      </c>
      <c r="E115" s="12">
        <v>0.89536000000000004</v>
      </c>
      <c r="F115" s="13">
        <f>1-Table1[[#This Row],[one-year conditional mortality AT ISSUE]]</f>
        <v>0.10463999999999996</v>
      </c>
      <c r="G115" s="13">
        <f>PRODUCT(F$17:F115)</f>
        <v>2.1166176003883725E-10</v>
      </c>
      <c r="H115" s="13">
        <f>Table1[[#This Row],[one-year conditional survival AT ISSUE]]*(1-Table1[[#This Row],[Lapse rate]])</f>
        <v>0.10129151999999995</v>
      </c>
      <c r="I115" s="13">
        <f>PRODUCT(H$17:H115)</f>
        <v>5.7427706946838865E-12</v>
      </c>
      <c r="J115" s="13">
        <f>G114*Table1[[#This Row],[one-year conditional mortality AT ISSUE]]</f>
        <v>1.811099708222223E-9</v>
      </c>
      <c r="K115" s="10">
        <f>I114*Table1[[#This Row],[one-year conditional mortality AT ISSUE]]</f>
        <v>5.0762859212618857E-11</v>
      </c>
      <c r="L115" s="3">
        <f t="shared" si="5"/>
        <v>1.9910109748700498E-3</v>
      </c>
      <c r="M115" s="44">
        <f>Table1[[#This Row],[Death benefit pay probability]]/Table1[[#This Row],[unconditional persistency AT ISSUE]]</f>
        <v>8.8394369044911212</v>
      </c>
      <c r="N115" s="44">
        <f>Table1[[#This Row],[one-year conditional mortality AT ISSUE]]/Table1[[#This Row],[one-year conditional persistency AT ISSUE]]</f>
        <v>8.8394369044911212</v>
      </c>
      <c r="O115" s="4">
        <f>(1+$B$14)^(Table1[[#This Row],[age since issue]]-$A$17)</f>
        <v>29.117513111726669</v>
      </c>
      <c r="P115" s="5">
        <f>(Table1[[#This Row],[level premium unmarked-up]]*Table1[[#This Row],[unconditional persistency AT ISSUE]]-Table1[[#This Row],[Death benefit pay probability]])</f>
        <v>-5.0751425293139582E-11</v>
      </c>
      <c r="Q115" s="4">
        <f>Table1[[#This Row],[Issuer profit with unmarked-up level premium]]/Table1[[#This Row],[Issuer discounter at issue]]</f>
        <v>-1.7429862604818458E-12</v>
      </c>
      <c r="R115" s="4">
        <f>(Table1[[#This Row],[variable premium unmarked up]]*Table1[[#This Row],[unconditional persistency AT ISSUE]]-Table1[[#This Row],[Death benefit pay probability]])</f>
        <v>0</v>
      </c>
      <c r="S115" s="6">
        <f>Table1[[#This Row],[level premium unmarked-up]]*(1+$B$15)</f>
        <v>1.9910109748700498E-3</v>
      </c>
      <c r="T115" s="6">
        <f>MIN(Table1[[#This Row],[variable premium unmarked up]]*(1+$B$15),1)</f>
        <v>1</v>
      </c>
      <c r="U115" s="6">
        <f>Table1[[#This Row],[level premium marked up]]-Table1[[#This Row],[variable premium marked up]]</f>
        <v>-0.99800898902512991</v>
      </c>
      <c r="V115" s="6">
        <f>Table1[[#This Row],[additional cash]]+V114*(1+$D$2)</f>
        <v>-21.6872686321903</v>
      </c>
      <c r="W115" s="12">
        <v>0.5</v>
      </c>
      <c r="X115" s="13">
        <f>1-Table1[[#This Row],[one-year conditional mortality NOW]]</f>
        <v>0.5</v>
      </c>
      <c r="Y115" s="49">
        <f>PRODUCT(X$17:X115)</f>
        <v>3.8546784436477573E-7</v>
      </c>
      <c r="Z115" s="13">
        <f>Table1[[#This Row],[one-year conditional survival NOW]]*(1-Table1[[#This Row],[Lapse rate]])</f>
        <v>0.48399999999999999</v>
      </c>
      <c r="AA115" s="13">
        <f>PRODUCT(Z$17:Z115)</f>
        <v>1.5293403211446422E-8</v>
      </c>
      <c r="AB115" s="50">
        <f>Y114*Table1[[#This Row],[one-year conditional mortality NOW]]</f>
        <v>3.8546784436477573E-7</v>
      </c>
      <c r="AC115" s="14">
        <v>1.9699999999999999E-2</v>
      </c>
      <c r="AD115" s="28">
        <f>(1+Table1[[#This Row],[Yield curve now]])^(Table1[[#This Row],[age since issue]]-$A$23)</f>
        <v>6.0181440094064991</v>
      </c>
      <c r="AE115" s="46">
        <f t="shared" si="4"/>
        <v>6.8787587043660769</v>
      </c>
      <c r="AF115" s="42">
        <f>1-Table1[[#This Row],[cumulative debt until t]]</f>
        <v>-5.8787587043660769</v>
      </c>
      <c r="AG115" s="46">
        <f>Table1[[#This Row],[cumulative debt until t]]*Table1[[#This Row],[Unconditional mortality NOW]]/Table1[[#This Row],[discouter with yield curve]]</f>
        <v>4.4059103363645171E-7</v>
      </c>
      <c r="AH115" s="48">
        <f>Table1[[#This Row],[Unconditional mortality NOW]]/Table1[[#This Row],[discouter with yield curve]]</f>
        <v>6.405095055257576E-8</v>
      </c>
      <c r="AI115" s="29">
        <f>Table1[[#This Row],[user profit (death benefit - debt)]]*Table1[[#This Row],[Unconditional mortality NOW]]/Table1[[#This Row],[discouter with yield curve]]</f>
        <v>-3.7654008308387595E-7</v>
      </c>
      <c r="AJ115" s="29">
        <f>(1+$D$4)^(Table1[[#This Row],[age since issue]]-$A$23)</f>
        <v>383885.15008533472</v>
      </c>
      <c r="AK115" s="57">
        <f>Table1[[#This Row],[level premium marked up]]*Table1[[#This Row],[unconditional survival NOW]]</f>
        <v>7.6747070858976872E-10</v>
      </c>
      <c r="AL115" s="62">
        <f>Table1[[#This Row],[cumulative debt until t]]*Table1[[#This Row],[Unconditional mortality NOW]]</f>
        <v>2.6515402896774293E-6</v>
      </c>
      <c r="AM115" s="47">
        <f>Table1[[#This Row],[probablistic premium stream]]/Table1[[#This Row],[lender discounter]]</f>
        <v>1.9992195801769512E-15</v>
      </c>
      <c r="AN115" s="58">
        <f>Table1[[#This Row],[probablistic repay from borrower]]/Table1[[#This Row],[lender discounter]]</f>
        <v>6.9071186762186877E-12</v>
      </c>
      <c r="AO115" s="47">
        <f>(Table1[[#This Row],[probablistic repay from borrower]]-Table1[[#This Row],[probablistic premium stream]])/Table1[[#This Row],[lender discounter]]</f>
        <v>6.905119456638511E-12</v>
      </c>
      <c r="AP115" s="46">
        <f>AP114*(1+$D$4)+ Table1[[#This Row],[level premium marked up]]</f>
        <v>5859.7699195666346</v>
      </c>
      <c r="AQ115" s="58">
        <f>AP115*Table1[[#This Row],[Unconditional mortality NOW]]</f>
        <v>2.258752879368906E-3</v>
      </c>
      <c r="AR115" s="60">
        <f>Table1[[#This Row],[cumulative debt until t]]*Table1[[#This Row],[Unconditional mortality NOW]]</f>
        <v>2.6515402896774293E-6</v>
      </c>
      <c r="AS115" s="58">
        <f>Table1[[#This Row],[lender to pay cumulative probablistic undiscounted]]/Table1[[#This Row],[lender discounter]]</f>
        <v>5.8839287710577043E-9</v>
      </c>
    </row>
    <row r="116" spans="1:45" s="3" customFormat="1">
      <c r="A116" s="3">
        <v>120</v>
      </c>
      <c r="B116" s="8">
        <v>3.2000000000000001E-2</v>
      </c>
      <c r="C116" s="3">
        <v>0</v>
      </c>
      <c r="D116" s="8">
        <v>3.2000000000000001E-2</v>
      </c>
      <c r="E116" s="12">
        <v>0.94728999999999997</v>
      </c>
      <c r="F116" s="13">
        <f>1-Table1[[#This Row],[one-year conditional mortality AT ISSUE]]</f>
        <v>5.2710000000000035E-2</v>
      </c>
      <c r="G116" s="13">
        <f>PRODUCT(F$17:F116)</f>
        <v>1.1156691371647119E-11</v>
      </c>
      <c r="H116" s="13">
        <f>Table1[[#This Row],[one-year conditional survival AT ISSUE]]*(1-Table1[[#This Row],[Lapse rate]])</f>
        <v>5.1023280000000032E-2</v>
      </c>
      <c r="I116" s="13">
        <f>PRODUCT(H$17:H116)</f>
        <v>2.9301499713065065E-13</v>
      </c>
      <c r="J116" s="13">
        <f>G115*Table1[[#This Row],[one-year conditional mortality AT ISSUE]]</f>
        <v>2.0050506866719011E-10</v>
      </c>
      <c r="K116" s="10">
        <f>I115*Table1[[#This Row],[one-year conditional mortality AT ISSUE]]</f>
        <v>5.4400692513670984E-12</v>
      </c>
      <c r="L116" s="3">
        <f t="shared" si="5"/>
        <v>1.9910109748700498E-3</v>
      </c>
      <c r="M116" s="44">
        <f>Table1[[#This Row],[Death benefit pay probability]]/Table1[[#This Row],[unconditional persistency AT ISSUE]]</f>
        <v>18.565838966056265</v>
      </c>
      <c r="N116" s="44">
        <f>Table1[[#This Row],[one-year conditional mortality AT ISSUE]]/Table1[[#This Row],[one-year conditional persistency AT ISSUE]]</f>
        <v>18.565838966056265</v>
      </c>
      <c r="O116" s="4">
        <f>(1+$B$14)^(Table1[[#This Row],[age since issue]]-$A$17)</f>
        <v>30.136626070637099</v>
      </c>
      <c r="P116" s="5">
        <f>(Table1[[#This Row],[level premium unmarked-up]]*Table1[[#This Row],[unconditional persistency AT ISSUE]]-Table1[[#This Row],[Death benefit pay probability]])</f>
        <v>-5.4394858552920099E-12</v>
      </c>
      <c r="Q116" s="4">
        <f>Table1[[#This Row],[Issuer profit with unmarked-up level premium]]/Table1[[#This Row],[Issuer discounter at issue]]</f>
        <v>-1.8049418811987858E-13</v>
      </c>
      <c r="R116" s="4">
        <f>(Table1[[#This Row],[variable premium unmarked up]]*Table1[[#This Row],[unconditional persistency AT ISSUE]]-Table1[[#This Row],[Death benefit pay probability]])</f>
        <v>0</v>
      </c>
      <c r="S116" s="6">
        <f>Table1[[#This Row],[level premium unmarked-up]]*(1+$B$15)</f>
        <v>1.9910109748700498E-3</v>
      </c>
      <c r="T116" s="6">
        <f>MIN(Table1[[#This Row],[variable premium unmarked up]]*(1+$B$15),1)</f>
        <v>1</v>
      </c>
      <c r="U116" s="6">
        <f>Table1[[#This Row],[level premium marked up]]-Table1[[#This Row],[variable premium marked up]]</f>
        <v>-0.99800898902512991</v>
      </c>
      <c r="V116" s="6">
        <f>Table1[[#This Row],[additional cash]]+V115*(1+$D$2)</f>
        <v>-22.706964889847619</v>
      </c>
      <c r="W116" s="12">
        <v>0.5</v>
      </c>
      <c r="X116" s="13">
        <f>1-Table1[[#This Row],[one-year conditional mortality NOW]]</f>
        <v>0.5</v>
      </c>
      <c r="Y116" s="49">
        <f>PRODUCT(X$17:X116)</f>
        <v>1.9273392218238786E-7</v>
      </c>
      <c r="Z116" s="13">
        <f>Table1[[#This Row],[one-year conditional survival NOW]]*(1-Table1[[#This Row],[Lapse rate]])</f>
        <v>0.48399999999999999</v>
      </c>
      <c r="AA116" s="13">
        <f>PRODUCT(Z$17:Z116)</f>
        <v>7.4020071543400683E-9</v>
      </c>
      <c r="AB116" s="50">
        <f>Y115*Table1[[#This Row],[one-year conditional mortality NOW]]</f>
        <v>1.9273392218238786E-7</v>
      </c>
      <c r="AC116" s="14">
        <v>1.9699999999999999E-2</v>
      </c>
      <c r="AD116" s="28">
        <f>(1+Table1[[#This Row],[Yield curve now]])^(Table1[[#This Row],[age since issue]]-$A$23)</f>
        <v>6.1367014463918066</v>
      </c>
      <c r="AE116" s="46">
        <f t="shared" si="4"/>
        <v>7.285868522489956</v>
      </c>
      <c r="AF116" s="42">
        <f>1-Table1[[#This Row],[cumulative debt until t]]</f>
        <v>-6.285868522489956</v>
      </c>
      <c r="AG116" s="46">
        <f>Table1[[#This Row],[cumulative debt until t]]*Table1[[#This Row],[Unconditional mortality NOW]]/Table1[[#This Row],[discouter with yield curve]]</f>
        <v>2.2882553911276474E-7</v>
      </c>
      <c r="AH116" s="48">
        <f>Table1[[#This Row],[Unconditional mortality NOW]]/Table1[[#This Row],[discouter with yield curve]]</f>
        <v>3.1406762063634291E-8</v>
      </c>
      <c r="AI116" s="29">
        <f>Table1[[#This Row],[user profit (death benefit - debt)]]*Table1[[#This Row],[Unconditional mortality NOW]]/Table1[[#This Row],[discouter with yield curve]]</f>
        <v>-1.9741877704913049E-7</v>
      </c>
      <c r="AJ116" s="29">
        <f>(1+$D$4)^(Table1[[#This Row],[age since issue]]-$A$23)</f>
        <v>441467.92259813496</v>
      </c>
      <c r="AK116" s="57">
        <f>Table1[[#This Row],[level premium marked up]]*Table1[[#This Row],[unconditional survival NOW]]</f>
        <v>3.8373535429488436E-10</v>
      </c>
      <c r="AL116" s="62">
        <f>Table1[[#This Row],[cumulative debt until t]]*Table1[[#This Row],[Unconditional mortality NOW]]</f>
        <v>1.4042340168446883E-6</v>
      </c>
      <c r="AM116" s="47">
        <f>Table1[[#This Row],[probablistic premium stream]]/Table1[[#This Row],[lender discounter]]</f>
        <v>8.6922590442476122E-16</v>
      </c>
      <c r="AN116" s="58">
        <f>Table1[[#This Row],[probablistic repay from borrower]]/Table1[[#This Row],[lender discounter]]</f>
        <v>3.1808291043672323E-12</v>
      </c>
      <c r="AO116" s="47">
        <f>(Table1[[#This Row],[probablistic repay from borrower]]-Table1[[#This Row],[probablistic premium stream]])/Table1[[#This Row],[lender discounter]]</f>
        <v>3.1799598784628079E-12</v>
      </c>
      <c r="AP116" s="46">
        <f>AP115*(1+$D$4)+ Table1[[#This Row],[level premium marked up]]</f>
        <v>6738.7373985126042</v>
      </c>
      <c r="AQ116" s="58">
        <f>AP116*Table1[[#This Row],[Unconditional mortality NOW]]</f>
        <v>1.2987832893724752E-3</v>
      </c>
      <c r="AR116" s="60">
        <f>Table1[[#This Row],[cumulative debt until t]]*Table1[[#This Row],[Unconditional mortality NOW]]</f>
        <v>1.4042340168446883E-6</v>
      </c>
      <c r="AS116" s="58">
        <f>Table1[[#This Row],[lender to pay cumulative probablistic undiscounted]]/Table1[[#This Row],[lender discounter]]</f>
        <v>2.9419652547547562E-9</v>
      </c>
    </row>
    <row r="117" spans="1:45" s="3" customFormat="1">
      <c r="A117" s="3">
        <v>121</v>
      </c>
      <c r="B117" s="8">
        <v>3.2000000000000001E-2</v>
      </c>
      <c r="C117" s="3">
        <v>0</v>
      </c>
      <c r="D117" s="8">
        <v>3.2000000000000001E-2</v>
      </c>
      <c r="E117" s="12">
        <v>0.99999999989999999</v>
      </c>
      <c r="F117" s="13">
        <f>1-Table1[[#This Row],[one-year conditional mortality AT ISSUE]]</f>
        <v>1.000000082740371E-10</v>
      </c>
      <c r="G117" s="13">
        <f>PRODUCT(F$17:F117)</f>
        <v>1.1156692294755903E-21</v>
      </c>
      <c r="H117" s="13">
        <f>Table1[[#This Row],[one-year conditional survival AT ISSUE]]*(1-Table1[[#This Row],[Lapse rate]])</f>
        <v>9.6800008009267909E-11</v>
      </c>
      <c r="I117" s="13">
        <f>PRODUCT(H$17:H117)</f>
        <v>2.8363854069082598E-23</v>
      </c>
      <c r="J117" s="13">
        <f>G116*Table1[[#This Row],[one-year conditional mortality AT ISSUE]]</f>
        <v>1.115669137053145E-11</v>
      </c>
      <c r="K117" s="10">
        <f>I116*Table1[[#This Row],[one-year conditional mortality AT ISSUE]]</f>
        <v>2.9301499710134915E-13</v>
      </c>
      <c r="L117" s="3">
        <f t="shared" si="5"/>
        <v>1.9910109748700498E-3</v>
      </c>
      <c r="M117" s="44">
        <f>Table1[[#This Row],[Death benefit pay probability]]/Table1[[#This Row],[unconditional persistency AT ISSUE]]</f>
        <v>10330577656.607809</v>
      </c>
      <c r="N117" s="44">
        <f>Table1[[#This Row],[one-year conditional mortality AT ISSUE]]/Table1[[#This Row],[one-year conditional persistency AT ISSUE]]</f>
        <v>10330577656.607809</v>
      </c>
      <c r="O117" s="4">
        <f>(1+$B$14)^(Table1[[#This Row],[age since issue]]-$A$17)</f>
        <v>31.191407983109396</v>
      </c>
      <c r="P117" s="5">
        <f>(Table1[[#This Row],[level premium unmarked-up]]*Table1[[#This Row],[unconditional persistency AT ISSUE]]-Table1[[#This Row],[Death benefit pay probability]])</f>
        <v>-2.9301499710129265E-13</v>
      </c>
      <c r="Q117" s="4">
        <f>Table1[[#This Row],[Issuer profit with unmarked-up level premium]]/Table1[[#This Row],[Issuer discounter at issue]]</f>
        <v>-9.394093311208156E-15</v>
      </c>
      <c r="R117" s="4">
        <f>(Table1[[#This Row],[variable premium unmarked up]]*Table1[[#This Row],[unconditional persistency AT ISSUE]]-Table1[[#This Row],[Death benefit pay probability]])</f>
        <v>5.0487097934144756E-29</v>
      </c>
      <c r="S117" s="6">
        <f>Table1[[#This Row],[level premium unmarked-up]]*(1+$B$15)</f>
        <v>1.9910109748700498E-3</v>
      </c>
      <c r="T117" s="6">
        <f>MIN(Table1[[#This Row],[variable premium unmarked up]]*(1+$B$15),1)</f>
        <v>1</v>
      </c>
      <c r="U117" s="6">
        <f>Table1[[#This Row],[level premium marked up]]-Table1[[#This Row],[variable premium marked up]]</f>
        <v>-0.99800898902512991</v>
      </c>
      <c r="V117" s="6">
        <f>Table1[[#This Row],[additional cash]]+V116*(1+$D$2)</f>
        <v>-23.727680843762595</v>
      </c>
      <c r="W117" s="12">
        <v>0.5</v>
      </c>
      <c r="X117" s="13">
        <f>1-Table1[[#This Row],[one-year conditional mortality NOW]]</f>
        <v>0.5</v>
      </c>
      <c r="Y117" s="49">
        <f>PRODUCT(X$17:X117)</f>
        <v>9.6366961091193932E-8</v>
      </c>
      <c r="Z117" s="13">
        <f>Table1[[#This Row],[one-year conditional survival NOW]]*(1-Table1[[#This Row],[Lapse rate]])</f>
        <v>0.48399999999999999</v>
      </c>
      <c r="AA117" s="13">
        <f>PRODUCT(Z$17:Z117)</f>
        <v>3.5825714627005928E-9</v>
      </c>
      <c r="AB117" s="50">
        <f>Y116*Table1[[#This Row],[one-year conditional mortality NOW]]</f>
        <v>9.6366961091193932E-8</v>
      </c>
      <c r="AC117" s="14">
        <v>1.9699999999999999E-2</v>
      </c>
      <c r="AD117" s="28">
        <f>(1+Table1[[#This Row],[Yield curve now]])^(Table1[[#This Row],[age since issue]]-$A$23)</f>
        <v>6.2575944648857256</v>
      </c>
      <c r="AE117" s="46">
        <f t="shared" si="4"/>
        <v>7.7169477989897564</v>
      </c>
      <c r="AF117" s="42">
        <f>1-Table1[[#This Row],[cumulative debt until t]]</f>
        <v>-6.7169477989897564</v>
      </c>
      <c r="AG117" s="46">
        <f>Table1[[#This Row],[cumulative debt until t]]*Table1[[#This Row],[Unconditional mortality NOW]]/Table1[[#This Row],[discouter with yield curve]]</f>
        <v>1.188410039130909E-7</v>
      </c>
      <c r="AH117" s="48">
        <f>Table1[[#This Row],[Unconditional mortality NOW]]/Table1[[#This Row],[discouter with yield curve]]</f>
        <v>1.5400001011883048E-8</v>
      </c>
      <c r="AI117" s="29">
        <f>Table1[[#This Row],[user profit (death benefit - debt)]]*Table1[[#This Row],[Unconditional mortality NOW]]/Table1[[#This Row],[discouter with yield curve]]</f>
        <v>-1.0344100290120785E-7</v>
      </c>
      <c r="AJ117" s="29">
        <f>(1+$D$4)^(Table1[[#This Row],[age since issue]]-$A$23)</f>
        <v>507688.11098785524</v>
      </c>
      <c r="AK117" s="57">
        <f>Table1[[#This Row],[level premium marked up]]*Table1[[#This Row],[unconditional survival NOW]]</f>
        <v>1.9186767714744218E-10</v>
      </c>
      <c r="AL117" s="62">
        <f>Table1[[#This Row],[cumulative debt until t]]*Table1[[#This Row],[Unconditional mortality NOW]]</f>
        <v>7.4365880828802047E-7</v>
      </c>
      <c r="AM117" s="47">
        <f>Table1[[#This Row],[probablistic premium stream]]/Table1[[#This Row],[lender discounter]]</f>
        <v>3.779243062716353E-16</v>
      </c>
      <c r="AN117" s="58">
        <f>Table1[[#This Row],[probablistic repay from borrower]]/Table1[[#This Row],[lender discounter]]</f>
        <v>1.4647946095113699E-12</v>
      </c>
      <c r="AO117" s="47">
        <f>(Table1[[#This Row],[probablistic repay from borrower]]-Table1[[#This Row],[probablistic premium stream]])/Table1[[#This Row],[lender discounter]]</f>
        <v>1.4644166852050983E-12</v>
      </c>
      <c r="AP117" s="46">
        <f>AP116*(1+$D$4)+ Table1[[#This Row],[level premium marked up]]</f>
        <v>7749.5499993004687</v>
      </c>
      <c r="AQ117" s="58">
        <f>AP117*Table1[[#This Row],[Unconditional mortality NOW]]</f>
        <v>7.468005832568502E-4</v>
      </c>
      <c r="AR117" s="60">
        <f>Table1[[#This Row],[cumulative debt until t]]*Table1[[#This Row],[Unconditional mortality NOW]]</f>
        <v>7.4365880828802047E-7</v>
      </c>
      <c r="AS117" s="58">
        <f>Table1[[#This Row],[lender to pay cumulative probablistic undiscounted]]/Table1[[#This Row],[lender discounter]]</f>
        <v>1.470983005301684E-9</v>
      </c>
    </row>
    <row r="118" spans="1:45" s="3" customFormat="1">
      <c r="A118" s="3">
        <v>122</v>
      </c>
      <c r="B118" s="8">
        <v>3.2000000000000001E-2</v>
      </c>
      <c r="C118" s="3">
        <v>0</v>
      </c>
      <c r="D118" s="8">
        <v>3.2000000000000001E-2</v>
      </c>
      <c r="E118" s="12">
        <v>0.99999999989999999</v>
      </c>
      <c r="F118" s="13">
        <f>1-Table1[[#This Row],[one-year conditional mortality AT ISSUE]]</f>
        <v>1.000000082740371E-10</v>
      </c>
      <c r="G118" s="13">
        <f>PRODUCT(F$17:F118)</f>
        <v>1.1156693217864762E-31</v>
      </c>
      <c r="H118" s="13">
        <f>Table1[[#This Row],[one-year conditional survival AT ISSUE]]*(1-Table1[[#This Row],[Lapse rate]])</f>
        <v>9.6800008009267909E-11</v>
      </c>
      <c r="I118" s="13">
        <f>PRODUCT(H$17:H118)</f>
        <v>2.7456213010609015E-33</v>
      </c>
      <c r="J118" s="13">
        <f>G117*Table1[[#This Row],[one-year conditional mortality AT ISSUE]]</f>
        <v>1.1156692293640233E-21</v>
      </c>
      <c r="K118" s="10">
        <f>I117*Table1[[#This Row],[one-year conditional mortality AT ISSUE]]</f>
        <v>2.8363854066246212E-23</v>
      </c>
      <c r="L118" s="3">
        <f t="shared" si="5"/>
        <v>1.9910109748700498E-3</v>
      </c>
      <c r="M118" s="44">
        <f>Table1[[#This Row],[Death benefit pay probability]]/Table1[[#This Row],[unconditional persistency AT ISSUE]]</f>
        <v>10330577656.607809</v>
      </c>
      <c r="N118" s="44">
        <f>Table1[[#This Row],[one-year conditional mortality AT ISSUE]]/Table1[[#This Row],[one-year conditional persistency AT ISSUE]]</f>
        <v>10330577656.607809</v>
      </c>
      <c r="O118" s="4">
        <f>(1+$B$14)^(Table1[[#This Row],[age since issue]]-$A$17)</f>
        <v>32.283107262518222</v>
      </c>
      <c r="P118" s="5">
        <f>(Table1[[#This Row],[level premium unmarked-up]]*Table1[[#This Row],[unconditional persistency AT ISSUE]]-Table1[[#This Row],[Death benefit pay probability]])</f>
        <v>-2.8363854066240746E-23</v>
      </c>
      <c r="Q118" s="4">
        <f>Table1[[#This Row],[Issuer profit with unmarked-up level premium]]/Table1[[#This Row],[Issuer discounter at issue]]</f>
        <v>-8.7859739880653131E-25</v>
      </c>
      <c r="R118" s="4">
        <f>(Table1[[#This Row],[variable premium unmarked up]]*Table1[[#This Row],[unconditional persistency AT ISSUE]]-Table1[[#This Row],[Death benefit pay probability]])</f>
        <v>0</v>
      </c>
      <c r="S118" s="6">
        <f>Table1[[#This Row],[level premium unmarked-up]]*(1+$B$15)</f>
        <v>1.9910109748700498E-3</v>
      </c>
      <c r="T118" s="6">
        <f>MIN(Table1[[#This Row],[variable premium unmarked up]]*(1+$B$15),1)</f>
        <v>1</v>
      </c>
      <c r="U118" s="6">
        <f>Table1[[#This Row],[level premium marked up]]-Table1[[#This Row],[variable premium marked up]]</f>
        <v>-0.99800898902512991</v>
      </c>
      <c r="V118" s="6">
        <f>Table1[[#This Row],[additional cash]]+V117*(1+$D$2)</f>
        <v>-24.749417513631485</v>
      </c>
      <c r="W118" s="12">
        <v>0.5</v>
      </c>
      <c r="X118" s="13">
        <f>1-Table1[[#This Row],[one-year conditional mortality NOW]]</f>
        <v>0.5</v>
      </c>
      <c r="Y118" s="49">
        <f>PRODUCT(X$17:X118)</f>
        <v>4.8183480545596966E-8</v>
      </c>
      <c r="Z118" s="13">
        <f>Table1[[#This Row],[one-year conditional survival NOW]]*(1-Table1[[#This Row],[Lapse rate]])</f>
        <v>0.48399999999999999</v>
      </c>
      <c r="AA118" s="13">
        <f>PRODUCT(Z$17:Z118)</f>
        <v>1.7339645879470869E-9</v>
      </c>
      <c r="AB118" s="50">
        <f>Y117*Table1[[#This Row],[one-year conditional mortality NOW]]</f>
        <v>4.8183480545596966E-8</v>
      </c>
      <c r="AC118" s="14">
        <v>1.9699999999999999E-2</v>
      </c>
      <c r="AD118" s="28">
        <f>(1+Table1[[#This Row],[Yield curve now]])^(Table1[[#This Row],[age since issue]]-$A$23)</f>
        <v>6.3808690758439743</v>
      </c>
      <c r="AE118" s="46">
        <f t="shared" si="4"/>
        <v>8.1734077868229296</v>
      </c>
      <c r="AF118" s="42">
        <f>1-Table1[[#This Row],[cumulative debt until t]]</f>
        <v>-7.1734077868229296</v>
      </c>
      <c r="AG118" s="46">
        <f>Table1[[#This Row],[cumulative debt until t]]*Table1[[#This Row],[Unconditional mortality NOW]]/Table1[[#This Row],[discouter with yield curve]]</f>
        <v>6.1719372456411644E-8</v>
      </c>
      <c r="AH118" s="48">
        <f>Table1[[#This Row],[Unconditional mortality NOW]]/Table1[[#This Row],[discouter with yield curve]]</f>
        <v>7.5512410571163316E-9</v>
      </c>
      <c r="AI118" s="29">
        <f>Table1[[#This Row],[user profit (death benefit - debt)]]*Table1[[#This Row],[Unconditional mortality NOW]]/Table1[[#This Row],[discouter with yield curve]]</f>
        <v>-5.4168131399295306E-8</v>
      </c>
      <c r="AJ118" s="29">
        <f>(1+$D$4)^(Table1[[#This Row],[age since issue]]-$A$23)</f>
        <v>583841.3276360333</v>
      </c>
      <c r="AK118" s="57">
        <f>Table1[[#This Row],[level premium marked up]]*Table1[[#This Row],[unconditional survival NOW]]</f>
        <v>9.593383857372109E-11</v>
      </c>
      <c r="AL118" s="62">
        <f>Table1[[#This Row],[cumulative debt until t]]*Table1[[#This Row],[Unconditional mortality NOW]]</f>
        <v>3.9382323508761338E-7</v>
      </c>
      <c r="AM118" s="47">
        <f>Table1[[#This Row],[probablistic premium stream]]/Table1[[#This Row],[lender discounter]]</f>
        <v>1.6431491577027628E-16</v>
      </c>
      <c r="AN118" s="58">
        <f>Table1[[#This Row],[probablistic repay from borrower]]/Table1[[#This Row],[lender discounter]]</f>
        <v>6.7453812610730908E-13</v>
      </c>
      <c r="AO118" s="47">
        <f>(Table1[[#This Row],[probablistic repay from borrower]]-Table1[[#This Row],[probablistic premium stream]])/Table1[[#This Row],[lender discounter]]</f>
        <v>6.7437381119153877E-13</v>
      </c>
      <c r="AP118" s="46">
        <f>AP117*(1+$D$4)+ Table1[[#This Row],[level premium marked up]]</f>
        <v>8911.9844902065124</v>
      </c>
      <c r="AQ118" s="58">
        <f>AP118*Table1[[#This Row],[Unconditional mortality NOW]]</f>
        <v>4.2941043130652741E-4</v>
      </c>
      <c r="AR118" s="60">
        <f>Table1[[#This Row],[cumulative debt until t]]*Table1[[#This Row],[Unconditional mortality NOW]]</f>
        <v>3.9382323508761338E-7</v>
      </c>
      <c r="AS118" s="58">
        <f>Table1[[#This Row],[lender to pay cumulative probablistic undiscounted]]/Table1[[#This Row],[lender discounter]]</f>
        <v>7.35491666965758E-10</v>
      </c>
    </row>
    <row r="119" spans="1:45" s="3" customFormat="1">
      <c r="A119" s="3">
        <v>123</v>
      </c>
      <c r="B119" s="8">
        <v>3.2000000000000001E-2</v>
      </c>
      <c r="C119" s="3">
        <v>0</v>
      </c>
      <c r="D119" s="8">
        <v>3.2000000000000001E-2</v>
      </c>
      <c r="E119" s="12">
        <v>0.99999999989999999</v>
      </c>
      <c r="F119" s="13">
        <f>1-Table1[[#This Row],[one-year conditional mortality AT ISSUE]]</f>
        <v>1.000000082740371E-10</v>
      </c>
      <c r="G119" s="13">
        <f>PRODUCT(F$17:F119)</f>
        <v>1.1156694140973698E-41</v>
      </c>
      <c r="H119" s="13">
        <f>Table1[[#This Row],[one-year conditional survival AT ISSUE]]*(1-Table1[[#This Row],[Lapse rate]])</f>
        <v>9.6800008009267909E-11</v>
      </c>
      <c r="I119" s="13">
        <f>PRODUCT(H$17:H119)</f>
        <v>2.6577616393311183E-43</v>
      </c>
      <c r="J119" s="13">
        <f>G118*Table1[[#This Row],[one-year conditional mortality AT ISSUE]]</f>
        <v>1.1156693216749092E-31</v>
      </c>
      <c r="K119" s="10">
        <f>I118*Table1[[#This Row],[one-year conditional mortality AT ISSUE]]</f>
        <v>2.7456213007863394E-33</v>
      </c>
      <c r="L119" s="3">
        <f t="shared" si="5"/>
        <v>1.9910109748700498E-3</v>
      </c>
      <c r="M119" s="44">
        <f>Table1[[#This Row],[Death benefit pay probability]]/Table1[[#This Row],[unconditional persistency AT ISSUE]]</f>
        <v>10330577656.607809</v>
      </c>
      <c r="N119" s="44">
        <f>Table1[[#This Row],[one-year conditional mortality AT ISSUE]]/Table1[[#This Row],[one-year conditional persistency AT ISSUE]]</f>
        <v>10330577656.607809</v>
      </c>
      <c r="O119" s="4">
        <f>(1+$B$14)^(Table1[[#This Row],[age since issue]]-$A$17)</f>
        <v>33.413016016706365</v>
      </c>
      <c r="P119" s="5">
        <f>(Table1[[#This Row],[level premium unmarked-up]]*Table1[[#This Row],[unconditional persistency AT ISSUE]]-Table1[[#This Row],[Death benefit pay probability]])</f>
        <v>-2.7456213007858101E-33</v>
      </c>
      <c r="Q119" s="4">
        <f>Table1[[#This Row],[Issuer profit with unmarked-up level premium]]/Table1[[#This Row],[Issuer discounter at issue]]</f>
        <v>-8.2172207962699663E-35</v>
      </c>
      <c r="R119" s="4">
        <f>(Table1[[#This Row],[variable premium unmarked up]]*Table1[[#This Row],[unconditional persistency AT ISSUE]]-Table1[[#This Row],[Death benefit pay probability]])</f>
        <v>0</v>
      </c>
      <c r="S119" s="6">
        <f>Table1[[#This Row],[level premium unmarked-up]]*(1+$B$15)</f>
        <v>1.9910109748700498E-3</v>
      </c>
      <c r="T119" s="6">
        <f>MIN(Table1[[#This Row],[variable premium unmarked up]]*(1+$B$15),1)</f>
        <v>1</v>
      </c>
      <c r="U119" s="6">
        <f>Table1[[#This Row],[level premium marked up]]-Table1[[#This Row],[variable premium marked up]]</f>
        <v>-0.99800898902512991</v>
      </c>
      <c r="V119" s="6">
        <f>Table1[[#This Row],[additional cash]]+V118*(1+$D$2)</f>
        <v>-25.772175920170245</v>
      </c>
      <c r="W119" s="12">
        <v>0.5</v>
      </c>
      <c r="X119" s="13">
        <f>1-Table1[[#This Row],[one-year conditional mortality NOW]]</f>
        <v>0.5</v>
      </c>
      <c r="Y119" s="49">
        <f>PRODUCT(X$17:X119)</f>
        <v>2.4091740272798483E-8</v>
      </c>
      <c r="Z119" s="13">
        <f>Table1[[#This Row],[one-year conditional survival NOW]]*(1-Table1[[#This Row],[Lapse rate]])</f>
        <v>0.48399999999999999</v>
      </c>
      <c r="AA119" s="13">
        <f>PRODUCT(Z$17:Z119)</f>
        <v>8.3923886056638998E-10</v>
      </c>
      <c r="AB119" s="50">
        <f>Y118*Table1[[#This Row],[one-year conditional mortality NOW]]</f>
        <v>2.4091740272798483E-8</v>
      </c>
      <c r="AC119" s="14">
        <v>1.9699999999999999E-2</v>
      </c>
      <c r="AD119" s="28">
        <f>(1+Table1[[#This Row],[Yield curve now]])^(Table1[[#This Row],[age since issue]]-$A$23)</f>
        <v>6.5065721966381007</v>
      </c>
      <c r="AE119" s="46">
        <f t="shared" si="4"/>
        <v>8.6567428294731563</v>
      </c>
      <c r="AF119" s="42">
        <f>1-Table1[[#This Row],[cumulative debt until t]]</f>
        <v>-7.6567428294731563</v>
      </c>
      <c r="AG119" s="46">
        <f>Table1[[#This Row],[cumulative debt until t]]*Table1[[#This Row],[Unconditional mortality NOW]]/Table1[[#This Row],[discouter with yield curve]]</f>
        <v>3.205312929038693E-8</v>
      </c>
      <c r="AH119" s="48">
        <f>Table1[[#This Row],[Unconditional mortality NOW]]/Table1[[#This Row],[discouter with yield curve]]</f>
        <v>3.7026777763637991E-9</v>
      </c>
      <c r="AI119" s="29">
        <f>Table1[[#This Row],[user profit (death benefit - debt)]]*Table1[[#This Row],[Unconditional mortality NOW]]/Table1[[#This Row],[discouter with yield curve]]</f>
        <v>-2.8350451514023132E-8</v>
      </c>
      <c r="AJ119" s="29">
        <f>(1+$D$4)^(Table1[[#This Row],[age since issue]]-$A$23)</f>
        <v>671417.52678143815</v>
      </c>
      <c r="AK119" s="57">
        <f>Table1[[#This Row],[level premium marked up]]*Table1[[#This Row],[unconditional survival NOW]]</f>
        <v>4.7966919286860545E-11</v>
      </c>
      <c r="AL119" s="62">
        <f>Table1[[#This Row],[cumulative debt until t]]*Table1[[#This Row],[Unconditional mortality NOW]]</f>
        <v>2.0855599985607794E-7</v>
      </c>
      <c r="AM119" s="47">
        <f>Table1[[#This Row],[probablistic premium stream]]/Table1[[#This Row],[lender discounter]]</f>
        <v>7.1441267726207099E-17</v>
      </c>
      <c r="AN119" s="58">
        <f>Table1[[#This Row],[probablistic repay from borrower]]/Table1[[#This Row],[lender discounter]]</f>
        <v>3.1062042847738721E-13</v>
      </c>
      <c r="AO119" s="47">
        <f>(Table1[[#This Row],[probablistic repay from borrower]]-Table1[[#This Row],[probablistic premium stream]])/Table1[[#This Row],[lender discounter]]</f>
        <v>3.1054898720966101E-13</v>
      </c>
      <c r="AP119" s="46">
        <f>AP118*(1+$D$4)+ Table1[[#This Row],[level premium marked up]]</f>
        <v>10248.784154748464</v>
      </c>
      <c r="AQ119" s="58">
        <f>AP119*Table1[[#This Row],[Unconditional mortality NOW]]</f>
        <v>2.4691104596817251E-4</v>
      </c>
      <c r="AR119" s="60">
        <f>Table1[[#This Row],[cumulative debt until t]]*Table1[[#This Row],[Unconditional mortality NOW]]</f>
        <v>2.0855599985607794E-7</v>
      </c>
      <c r="AS119" s="58">
        <f>Table1[[#This Row],[lender to pay cumulative probablistic undiscounted]]/Table1[[#This Row],[lender discounter]]</f>
        <v>3.6774590492414677E-10</v>
      </c>
    </row>
    <row r="120" spans="1:45" s="3" customFormat="1">
      <c r="A120" s="3">
        <v>124</v>
      </c>
      <c r="B120" s="8">
        <v>3.2000000000000001E-2</v>
      </c>
      <c r="C120" s="3">
        <v>0</v>
      </c>
      <c r="D120" s="8">
        <v>3.2000000000000001E-2</v>
      </c>
      <c r="E120" s="12">
        <v>0.99999999989999999</v>
      </c>
      <c r="F120" s="13">
        <f>1-Table1[[#This Row],[one-year conditional mortality AT ISSUE]]</f>
        <v>1.000000082740371E-10</v>
      </c>
      <c r="G120" s="13">
        <f>PRODUCT(F$17:F120)</f>
        <v>1.1156695064082711E-51</v>
      </c>
      <c r="H120" s="13">
        <f>Table1[[#This Row],[one-year conditional survival AT ISSUE]]*(1-Table1[[#This Row],[Lapse rate]])</f>
        <v>9.6800008009267909E-11</v>
      </c>
      <c r="I120" s="13">
        <f>PRODUCT(H$17:H120)</f>
        <v>2.5727134797397728E-53</v>
      </c>
      <c r="J120" s="13">
        <f>G119*Table1[[#This Row],[one-year conditional mortality AT ISSUE]]</f>
        <v>1.1156694139858029E-41</v>
      </c>
      <c r="K120" s="10">
        <f>I119*Table1[[#This Row],[one-year conditional mortality AT ISSUE]]</f>
        <v>2.657761639065342E-43</v>
      </c>
      <c r="L120" s="3">
        <f t="shared" si="5"/>
        <v>1.9910109748700498E-3</v>
      </c>
      <c r="M120" s="44">
        <f>Table1[[#This Row],[Death benefit pay probability]]/Table1[[#This Row],[unconditional persistency AT ISSUE]]</f>
        <v>10330577656.607807</v>
      </c>
      <c r="N120" s="44">
        <f>Table1[[#This Row],[one-year conditional mortality AT ISSUE]]/Table1[[#This Row],[one-year conditional persistency AT ISSUE]]</f>
        <v>10330577656.607809</v>
      </c>
      <c r="O120" s="4">
        <f>(1+$B$14)^(Table1[[#This Row],[age since issue]]-$A$17)</f>
        <v>34.582471577291081</v>
      </c>
      <c r="P120" s="5">
        <f>(Table1[[#This Row],[level premium unmarked-up]]*Table1[[#This Row],[unconditional persistency AT ISSUE]]-Table1[[#This Row],[Death benefit pay probability]])</f>
        <v>-2.6577616390648298E-43</v>
      </c>
      <c r="Q120" s="4">
        <f>Table1[[#This Row],[Issuer profit with unmarked-up level premium]]/Table1[[#This Row],[Issuer discounter at issue]]</f>
        <v>-7.6852853999309732E-45</v>
      </c>
      <c r="R120" s="4">
        <f>(Table1[[#This Row],[variable premium unmarked up]]*Table1[[#This Row],[unconditional persistency AT ISSUE]]-Table1[[#This Row],[Death benefit pay probability]])</f>
        <v>0</v>
      </c>
      <c r="S120" s="6">
        <f>Table1[[#This Row],[level premium unmarked-up]]*(1+$B$15)</f>
        <v>1.9910109748700498E-3</v>
      </c>
      <c r="T120" s="6">
        <f>MIN(Table1[[#This Row],[variable premium unmarked up]]*(1+$B$15),1)</f>
        <v>1</v>
      </c>
      <c r="U120" s="6">
        <f>Table1[[#This Row],[level premium marked up]]-Table1[[#This Row],[variable premium marked up]]</f>
        <v>-0.99800898902512991</v>
      </c>
      <c r="V120" s="6">
        <f>Table1[[#This Row],[additional cash]]+V119*(1+$D$2)</f>
        <v>-26.795957085115543</v>
      </c>
      <c r="W120" s="12">
        <v>0.5</v>
      </c>
      <c r="X120" s="13">
        <f>1-Table1[[#This Row],[one-year conditional mortality NOW]]</f>
        <v>0.5</v>
      </c>
      <c r="Y120" s="49">
        <f>PRODUCT(X$17:X120)</f>
        <v>1.2045870136399242E-8</v>
      </c>
      <c r="Z120" s="13">
        <f>Table1[[#This Row],[one-year conditional survival NOW]]*(1-Table1[[#This Row],[Lapse rate]])</f>
        <v>0.48399999999999999</v>
      </c>
      <c r="AA120" s="13">
        <f>PRODUCT(Z$17:Z120)</f>
        <v>4.0619160851413273E-10</v>
      </c>
      <c r="AB120" s="50">
        <f>Y119*Table1[[#This Row],[one-year conditional mortality NOW]]</f>
        <v>1.2045870136399242E-8</v>
      </c>
      <c r="AC120" s="14">
        <v>1.9699999999999999E-2</v>
      </c>
      <c r="AD120" s="28">
        <f>(1+Table1[[#This Row],[Yield curve now]])^(Table1[[#This Row],[age since issue]]-$A$23)</f>
        <v>6.6347516689118713</v>
      </c>
      <c r="AE120" s="46">
        <f t="shared" si="4"/>
        <v>9.168535253082208</v>
      </c>
      <c r="AF120" s="42">
        <f>1-Table1[[#This Row],[cumulative debt until t]]</f>
        <v>-8.168535253082208</v>
      </c>
      <c r="AG120" s="46">
        <f>Table1[[#This Row],[cumulative debt until t]]*Table1[[#This Row],[Unconditional mortality NOW]]/Table1[[#This Row],[discouter with yield curve]]</f>
        <v>1.6646136963516491E-8</v>
      </c>
      <c r="AH120" s="48">
        <f>Table1[[#This Row],[Unconditional mortality NOW]]/Table1[[#This Row],[discouter with yield curve]]</f>
        <v>1.8155721174677841E-9</v>
      </c>
      <c r="AI120" s="29">
        <f>Table1[[#This Row],[user profit (death benefit - debt)]]*Table1[[#This Row],[Unconditional mortality NOW]]/Table1[[#This Row],[discouter with yield curve]]</f>
        <v>-1.4830564846048707E-8</v>
      </c>
      <c r="AJ120" s="29">
        <f>(1+$D$4)^(Table1[[#This Row],[age since issue]]-$A$23)</f>
        <v>772130.15579865384</v>
      </c>
      <c r="AK120" s="57">
        <f>Table1[[#This Row],[level premium marked up]]*Table1[[#This Row],[unconditional survival NOW]]</f>
        <v>2.3983459643430273E-11</v>
      </c>
      <c r="AL120" s="62">
        <f>Table1[[#This Row],[cumulative debt until t]]*Table1[[#This Row],[Unconditional mortality NOW]]</f>
        <v>1.1044298499962663E-7</v>
      </c>
      <c r="AM120" s="47">
        <f>Table1[[#This Row],[probablistic premium stream]]/Table1[[#This Row],[lender discounter]]</f>
        <v>3.1061420750524826E-17</v>
      </c>
      <c r="AN120" s="58">
        <f>Table1[[#This Row],[probablistic repay from borrower]]/Table1[[#This Row],[lender discounter]]</f>
        <v>1.4303674603330289E-13</v>
      </c>
      <c r="AO120" s="47">
        <f>(Table1[[#This Row],[probablistic repay from borrower]]-Table1[[#This Row],[probablistic premium stream]])/Table1[[#This Row],[lender discounter]]</f>
        <v>1.4300568461255237E-13</v>
      </c>
      <c r="AP120" s="46">
        <f>AP119*(1+$D$4)+ Table1[[#This Row],[level premium marked up]]</f>
        <v>11786.103768971707</v>
      </c>
      <c r="AQ120" s="58">
        <f>AP120*Table1[[#This Row],[Unconditional mortality NOW]]</f>
        <v>1.4197387541515884E-4</v>
      </c>
      <c r="AR120" s="60">
        <f>Table1[[#This Row],[cumulative debt until t]]*Table1[[#This Row],[Unconditional mortality NOW]]</f>
        <v>1.1044298499962663E-7</v>
      </c>
      <c r="AS120" s="58">
        <f>Table1[[#This Row],[lender to pay cumulative probablistic undiscounted]]/Table1[[#This Row],[lender discounter]]</f>
        <v>1.8387298352349413E-10</v>
      </c>
    </row>
    <row r="121" spans="1:45" s="3" customFormat="1">
      <c r="A121" s="3">
        <v>125</v>
      </c>
      <c r="B121" s="8">
        <v>3.2000000000000001E-2</v>
      </c>
      <c r="C121" s="3">
        <v>0</v>
      </c>
      <c r="D121" s="8">
        <v>3.2000000000000001E-2</v>
      </c>
      <c r="E121" s="12">
        <v>0.99999999989999999</v>
      </c>
      <c r="F121" s="13">
        <f>1-Table1[[#This Row],[one-year conditional mortality AT ISSUE]]</f>
        <v>1.000000082740371E-10</v>
      </c>
      <c r="G121" s="13">
        <f>PRODUCT(F$17:F121)</f>
        <v>1.11566959871918E-61</v>
      </c>
      <c r="H121" s="13">
        <f>Table1[[#This Row],[one-year conditional survival AT ISSUE]]*(1-Table1[[#This Row],[Lapse rate]])</f>
        <v>9.6800008009267909E-11</v>
      </c>
      <c r="I121" s="13">
        <f>PRODUCT(H$17:H121)</f>
        <v>2.490386854443615E-63</v>
      </c>
      <c r="J121" s="13">
        <f>G120*Table1[[#This Row],[one-year conditional mortality AT ISSUE]]</f>
        <v>1.1156695062967041E-51</v>
      </c>
      <c r="K121" s="10">
        <f>I120*Table1[[#This Row],[one-year conditional mortality AT ISSUE]]</f>
        <v>2.5727134794825013E-53</v>
      </c>
      <c r="L121" s="3">
        <f t="shared" si="5"/>
        <v>1.9910109748700498E-3</v>
      </c>
      <c r="M121" s="44">
        <f>Table1[[#This Row],[Death benefit pay probability]]/Table1[[#This Row],[unconditional persistency AT ISSUE]]</f>
        <v>10330577656.607809</v>
      </c>
      <c r="N121" s="44">
        <f>Table1[[#This Row],[one-year conditional mortality AT ISSUE]]/Table1[[#This Row],[one-year conditional persistency AT ISSUE]]</f>
        <v>10330577656.607809</v>
      </c>
      <c r="O121" s="4">
        <f>(1+$B$14)^(Table1[[#This Row],[age since issue]]-$A$17)</f>
        <v>35.792858082496259</v>
      </c>
      <c r="P121" s="5">
        <f>(Table1[[#This Row],[level premium unmarked-up]]*Table1[[#This Row],[unconditional persistency AT ISSUE]]-Table1[[#This Row],[Death benefit pay probability]])</f>
        <v>-2.5727134794820057E-53</v>
      </c>
      <c r="Q121" s="4">
        <f>Table1[[#This Row],[Issuer profit with unmarked-up level premium]]/Table1[[#This Row],[Issuer discounter at issue]]</f>
        <v>-7.1877844276988237E-55</v>
      </c>
      <c r="R121" s="4">
        <f>(Table1[[#This Row],[variable premium unmarked up]]*Table1[[#This Row],[unconditional persistency AT ISSUE]]-Table1[[#This Row],[Death benefit pay probability]])</f>
        <v>0</v>
      </c>
      <c r="S121" s="6">
        <f>Table1[[#This Row],[level premium unmarked-up]]*(1+$B$15)</f>
        <v>1.9910109748700498E-3</v>
      </c>
      <c r="T121" s="6">
        <f>MIN(Table1[[#This Row],[variable premium unmarked up]]*(1+$B$15),1)</f>
        <v>1</v>
      </c>
      <c r="U121" s="6">
        <f>Table1[[#This Row],[level premium marked up]]-Table1[[#This Row],[variable premium marked up]]</f>
        <v>-0.99800898902512991</v>
      </c>
      <c r="V121" s="6">
        <f>Table1[[#This Row],[additional cash]]+V120*(1+$D$2)</f>
        <v>-27.820762031225787</v>
      </c>
      <c r="W121" s="12">
        <v>0.5</v>
      </c>
      <c r="X121" s="13">
        <f>1-Table1[[#This Row],[one-year conditional mortality NOW]]</f>
        <v>0.5</v>
      </c>
      <c r="Y121" s="49">
        <f>PRODUCT(X$17:X121)</f>
        <v>6.0229350681996208E-9</v>
      </c>
      <c r="Z121" s="13">
        <f>Table1[[#This Row],[one-year conditional survival NOW]]*(1-Table1[[#This Row],[Lapse rate]])</f>
        <v>0.48399999999999999</v>
      </c>
      <c r="AA121" s="13">
        <f>PRODUCT(Z$17:Z121)</f>
        <v>1.9659673852084023E-10</v>
      </c>
      <c r="AB121" s="50">
        <f>Y120*Table1[[#This Row],[one-year conditional mortality NOW]]</f>
        <v>6.0229350681996208E-9</v>
      </c>
      <c r="AC121" s="14">
        <v>1.9699999999999999E-2</v>
      </c>
      <c r="AD121" s="28">
        <f>(1+Table1[[#This Row],[Yield curve now]])^(Table1[[#This Row],[age since issue]]-$A$23)</f>
        <v>6.7654562767894362</v>
      </c>
      <c r="AE121" s="46">
        <f t="shared" si="4"/>
        <v>9.7104605466164848</v>
      </c>
      <c r="AF121" s="42">
        <f>1-Table1[[#This Row],[cumulative debt until t]]</f>
        <v>-8.7104605466164848</v>
      </c>
      <c r="AG121" s="46">
        <f>Table1[[#This Row],[cumulative debt until t]]*Table1[[#This Row],[Unconditional mortality NOW]]/Table1[[#This Row],[discouter with yield curve]]</f>
        <v>8.6447197294340812E-9</v>
      </c>
      <c r="AH121" s="48">
        <f>Table1[[#This Row],[Unconditional mortality NOW]]/Table1[[#This Row],[discouter with yield curve]]</f>
        <v>8.9024816978904777E-10</v>
      </c>
      <c r="AI121" s="29">
        <f>Table1[[#This Row],[user profit (death benefit - debt)]]*Table1[[#This Row],[Unconditional mortality NOW]]/Table1[[#This Row],[discouter with yield curve]]</f>
        <v>-7.7544715596450352E-9</v>
      </c>
      <c r="AJ121" s="29">
        <f>(1+$D$4)^(Table1[[#This Row],[age since issue]]-$A$23)</f>
        <v>887949.67916845193</v>
      </c>
      <c r="AK121" s="57">
        <f>Table1[[#This Row],[level premium marked up]]*Table1[[#This Row],[unconditional survival NOW]]</f>
        <v>1.1991729821715136E-11</v>
      </c>
      <c r="AL121" s="62">
        <f>Table1[[#This Row],[cumulative debt until t]]*Table1[[#This Row],[Unconditional mortality NOW]]</f>
        <v>5.8485473354585282E-8</v>
      </c>
      <c r="AM121" s="47">
        <f>Table1[[#This Row],[probablistic premium stream]]/Table1[[#This Row],[lender discounter]]</f>
        <v>1.3504965543706445E-17</v>
      </c>
      <c r="AN121" s="58">
        <f>Table1[[#This Row],[probablistic repay from borrower]]/Table1[[#This Row],[lender discounter]]</f>
        <v>6.5865751997743639E-14</v>
      </c>
      <c r="AO121" s="47">
        <f>(Table1[[#This Row],[probablistic repay from borrower]]-Table1[[#This Row],[probablistic premium stream]])/Table1[[#This Row],[lender discounter]]</f>
        <v>6.5852247032199937E-14</v>
      </c>
      <c r="AP121" s="46">
        <f>AP120*(1+$D$4)+ Table1[[#This Row],[level premium marked up]]</f>
        <v>13554.021325328436</v>
      </c>
      <c r="AQ121" s="58">
        <f>AP121*Table1[[#This Row],[Unconditional mortality NOW]]</f>
        <v>8.1634990355446141E-5</v>
      </c>
      <c r="AR121" s="60">
        <f>Table1[[#This Row],[cumulative debt until t]]*Table1[[#This Row],[Unconditional mortality NOW]]</f>
        <v>5.8485473354585282E-8</v>
      </c>
      <c r="AS121" s="58">
        <f>Table1[[#This Row],[lender to pay cumulative probablistic undiscounted]]/Table1[[#This Row],[lender discounter]]</f>
        <v>9.1936505266712601E-11</v>
      </c>
    </row>
    <row r="122" spans="1:45" s="3" customFormat="1">
      <c r="A122" s="3">
        <v>126</v>
      </c>
      <c r="B122" s="8">
        <v>3.2000000000000001E-2</v>
      </c>
      <c r="C122" s="3">
        <v>0</v>
      </c>
      <c r="D122" s="8">
        <v>3.2000000000000001E-2</v>
      </c>
      <c r="E122" s="12">
        <v>0.99999999989999999</v>
      </c>
      <c r="F122" s="13">
        <f>1-Table1[[#This Row],[one-year conditional mortality AT ISSUE]]</f>
        <v>1.000000082740371E-10</v>
      </c>
      <c r="G122" s="13">
        <f>PRODUCT(F$17:F122)</f>
        <v>1.1156696910300965E-71</v>
      </c>
      <c r="H122" s="13">
        <f>Table1[[#This Row],[one-year conditional survival AT ISSUE]]*(1-Table1[[#This Row],[Lapse rate]])</f>
        <v>9.6800008009267909E-11</v>
      </c>
      <c r="I122" s="13">
        <f>PRODUCT(H$17:H122)</f>
        <v>2.4106946745631745E-73</v>
      </c>
      <c r="J122" s="13">
        <f>G121*Table1[[#This Row],[one-year conditional mortality AT ISSUE]]</f>
        <v>1.115669598607613E-61</v>
      </c>
      <c r="K122" s="10">
        <f>I121*Table1[[#This Row],[one-year conditional mortality AT ISSUE]]</f>
        <v>2.4903868541945765E-63</v>
      </c>
      <c r="L122" s="3">
        <f t="shared" si="5"/>
        <v>1.9910109748700498E-3</v>
      </c>
      <c r="M122" s="44">
        <f>Table1[[#This Row],[Death benefit pay probability]]/Table1[[#This Row],[unconditional persistency AT ISSUE]]</f>
        <v>10330577656.607809</v>
      </c>
      <c r="N122" s="44">
        <f>Table1[[#This Row],[one-year conditional mortality AT ISSUE]]/Table1[[#This Row],[one-year conditional persistency AT ISSUE]]</f>
        <v>10330577656.607809</v>
      </c>
      <c r="O122" s="4">
        <f>(1+$B$14)^(Table1[[#This Row],[age since issue]]-$A$17)</f>
        <v>37.045608115383622</v>
      </c>
      <c r="P122" s="5">
        <f>(Table1[[#This Row],[level premium unmarked-up]]*Table1[[#This Row],[unconditional persistency AT ISSUE]]-Table1[[#This Row],[Death benefit pay probability]])</f>
        <v>-2.4903868541940967E-63</v>
      </c>
      <c r="Q122" s="4">
        <f>Table1[[#This Row],[Issuer profit with unmarked-up level premium]]/Table1[[#This Row],[Issuer discounter at issue]]</f>
        <v>-6.7224887939143706E-65</v>
      </c>
      <c r="R122" s="4">
        <f>(Table1[[#This Row],[variable premium unmarked up]]*Table1[[#This Row],[unconditional persistency AT ISSUE]]-Table1[[#This Row],[Death benefit pay probability]])</f>
        <v>0</v>
      </c>
      <c r="S122" s="6">
        <f>Table1[[#This Row],[level premium unmarked-up]]*(1+$B$15)</f>
        <v>1.9910109748700498E-3</v>
      </c>
      <c r="T122" s="6">
        <f>MIN(Table1[[#This Row],[variable premium unmarked up]]*(1+$B$15),1)</f>
        <v>1</v>
      </c>
      <c r="U122" s="6">
        <f>Table1[[#This Row],[level premium marked up]]-Table1[[#This Row],[variable premium marked up]]</f>
        <v>-0.99800898902512991</v>
      </c>
      <c r="V122" s="6">
        <f>Table1[[#This Row],[additional cash]]+V121*(1+$D$2)</f>
        <v>-28.84659178228214</v>
      </c>
      <c r="W122" s="12">
        <v>0.5</v>
      </c>
      <c r="X122" s="13">
        <f>1-Table1[[#This Row],[one-year conditional mortality NOW]]</f>
        <v>0.5</v>
      </c>
      <c r="Y122" s="49">
        <f>PRODUCT(X$17:X122)</f>
        <v>3.0114675340998104E-9</v>
      </c>
      <c r="Z122" s="13">
        <f>Table1[[#This Row],[one-year conditional survival NOW]]*(1-Table1[[#This Row],[Lapse rate]])</f>
        <v>0.48399999999999999</v>
      </c>
      <c r="AA122" s="13">
        <f>PRODUCT(Z$17:Z122)</f>
        <v>9.5152821444086668E-11</v>
      </c>
      <c r="AB122" s="50">
        <f>Y121*Table1[[#This Row],[one-year conditional mortality NOW]]</f>
        <v>3.0114675340998104E-9</v>
      </c>
      <c r="AC122" s="14">
        <v>1.9699999999999999E-2</v>
      </c>
      <c r="AD122" s="28">
        <f>(1+Table1[[#This Row],[Yield curve now]])^(Table1[[#This Row],[age since issue]]-$A$23)</f>
        <v>6.8987357654421873</v>
      </c>
      <c r="AE122" s="46">
        <f t="shared" si="4"/>
        <v>10.284292847026915</v>
      </c>
      <c r="AF122" s="42">
        <f>1-Table1[[#This Row],[cumulative debt until t]]</f>
        <v>-9.284292847026915</v>
      </c>
      <c r="AG122" s="46">
        <f>Table1[[#This Row],[cumulative debt until t]]*Table1[[#This Row],[Unconditional mortality NOW]]/Table1[[#This Row],[discouter with yield curve]]</f>
        <v>4.4893463198197058E-9</v>
      </c>
      <c r="AH122" s="48">
        <f>Table1[[#This Row],[Unconditional mortality NOW]]/Table1[[#This Row],[discouter with yield curve]]</f>
        <v>4.3652455123519067E-10</v>
      </c>
      <c r="AI122" s="29">
        <f>Table1[[#This Row],[user profit (death benefit - debt)]]*Table1[[#This Row],[Unconditional mortality NOW]]/Table1[[#This Row],[discouter with yield curve]]</f>
        <v>-4.0528217685845152E-9</v>
      </c>
      <c r="AJ122" s="29">
        <f>(1+$D$4)^(Table1[[#This Row],[age since issue]]-$A$23)</f>
        <v>1021142.1310437194</v>
      </c>
      <c r="AK122" s="57">
        <f>Table1[[#This Row],[level premium marked up]]*Table1[[#This Row],[unconditional survival NOW]]</f>
        <v>5.9958649108575681E-12</v>
      </c>
      <c r="AL122" s="62">
        <f>Table1[[#This Row],[cumulative debt until t]]*Table1[[#This Row],[Unconditional mortality NOW]]</f>
        <v>3.0970814019996463E-8</v>
      </c>
      <c r="AM122" s="47">
        <f>Table1[[#This Row],[probablistic premium stream]]/Table1[[#This Row],[lender discounter]]</f>
        <v>5.8717241494375874E-18</v>
      </c>
      <c r="AN122" s="58">
        <f>Table1[[#This Row],[probablistic repay from borrower]]/Table1[[#This Row],[lender discounter]]</f>
        <v>3.0329582022378111E-14</v>
      </c>
      <c r="AO122" s="47">
        <f>(Table1[[#This Row],[probablistic repay from borrower]]-Table1[[#This Row],[probablistic premium stream]])/Table1[[#This Row],[lender discounter]]</f>
        <v>3.0323710298228674E-14</v>
      </c>
      <c r="AP122" s="46">
        <f>AP121*(1+$D$4)+ Table1[[#This Row],[level premium marked up]]</f>
        <v>15587.126515138676</v>
      </c>
      <c r="AQ122" s="58">
        <f>AP122*Table1[[#This Row],[Unconditional mortality NOW]]</f>
        <v>4.6940125450246438E-5</v>
      </c>
      <c r="AR122" s="60">
        <f>Table1[[#This Row],[cumulative debt until t]]*Table1[[#This Row],[Unconditional mortality NOW]]</f>
        <v>3.0970814019996463E-8</v>
      </c>
      <c r="AS122" s="58">
        <f>Table1[[#This Row],[lender to pay cumulative probablistic undiscounted]]/Table1[[#This Row],[lender discounter]]</f>
        <v>4.5968258505080463E-11</v>
      </c>
    </row>
    <row r="123" spans="1:45" s="3" customFormat="1">
      <c r="A123" s="3">
        <v>127</v>
      </c>
      <c r="B123" s="8">
        <v>3.2000000000000001E-2</v>
      </c>
      <c r="C123" s="3">
        <v>0</v>
      </c>
      <c r="D123" s="8">
        <v>3.2000000000000001E-2</v>
      </c>
      <c r="E123" s="12">
        <v>0.99999999989999999</v>
      </c>
      <c r="F123" s="13">
        <f>1-Table1[[#This Row],[one-year conditional mortality AT ISSUE]]</f>
        <v>1.000000082740371E-10</v>
      </c>
      <c r="G123" s="13">
        <f>PRODUCT(F$17:F123)</f>
        <v>1.1156697833410206E-81</v>
      </c>
      <c r="H123" s="13">
        <f>Table1[[#This Row],[one-year conditional survival AT ISSUE]]*(1-Table1[[#This Row],[Lapse rate]])</f>
        <v>9.6800008009267909E-11</v>
      </c>
      <c r="I123" s="13">
        <f>PRODUCT(H$17:H123)</f>
        <v>2.333552638056148E-83</v>
      </c>
      <c r="J123" s="13">
        <f>G122*Table1[[#This Row],[one-year conditional mortality AT ISSUE]]</f>
        <v>1.1156696909185294E-71</v>
      </c>
      <c r="K123" s="10">
        <f>I122*Table1[[#This Row],[one-year conditional mortality AT ISSUE]]</f>
        <v>2.4106946743221049E-73</v>
      </c>
      <c r="L123" s="3">
        <f t="shared" si="5"/>
        <v>1.9910109748700498E-3</v>
      </c>
      <c r="M123" s="44">
        <f>Table1[[#This Row],[Death benefit pay probability]]/Table1[[#This Row],[unconditional persistency AT ISSUE]]</f>
        <v>10330577656.607807</v>
      </c>
      <c r="N123" s="44">
        <f>Table1[[#This Row],[one-year conditional mortality AT ISSUE]]/Table1[[#This Row],[one-year conditional persistency AT ISSUE]]</f>
        <v>10330577656.607809</v>
      </c>
      <c r="O123" s="4">
        <f>(1+$B$14)^(Table1[[#This Row],[age since issue]]-$A$17)</f>
        <v>38.342204399422052</v>
      </c>
      <c r="P123" s="5">
        <f>(Table1[[#This Row],[level premium unmarked-up]]*Table1[[#This Row],[unconditional persistency AT ISSUE]]-Table1[[#This Row],[Death benefit pay probability]])</f>
        <v>-2.4106946743216402E-73</v>
      </c>
      <c r="Q123" s="4">
        <f>Table1[[#This Row],[Issuer profit with unmarked-up level premium]]/Table1[[#This Row],[Issuer discounter at issue]]</f>
        <v>-6.2873137110446826E-75</v>
      </c>
      <c r="R123" s="4">
        <f>(Table1[[#This Row],[variable premium unmarked up]]*Table1[[#This Row],[unconditional persistency AT ISSUE]]-Table1[[#This Row],[Death benefit pay probability]])</f>
        <v>0</v>
      </c>
      <c r="S123" s="6">
        <f>Table1[[#This Row],[level premium unmarked-up]]*(1+$B$15)</f>
        <v>1.9910109748700498E-3</v>
      </c>
      <c r="T123" s="6">
        <f>MIN(Table1[[#This Row],[variable premium unmarked up]]*(1+$B$15),1)</f>
        <v>1</v>
      </c>
      <c r="U123" s="6">
        <f>Table1[[#This Row],[level premium marked up]]-Table1[[#This Row],[variable premium marked up]]</f>
        <v>-0.99800898902512991</v>
      </c>
      <c r="V123" s="6">
        <f>Table1[[#This Row],[additional cash]]+V122*(1+$D$2)</f>
        <v>-29.87344736308955</v>
      </c>
      <c r="W123" s="12">
        <v>0.5</v>
      </c>
      <c r="X123" s="13">
        <f>1-Table1[[#This Row],[one-year conditional mortality NOW]]</f>
        <v>0.5</v>
      </c>
      <c r="Y123" s="49">
        <f>PRODUCT(X$17:X123)</f>
        <v>1.5057337670499052E-9</v>
      </c>
      <c r="Z123" s="13">
        <f>Table1[[#This Row],[one-year conditional survival NOW]]*(1-Table1[[#This Row],[Lapse rate]])</f>
        <v>0.48399999999999999</v>
      </c>
      <c r="AA123" s="13">
        <f>PRODUCT(Z$17:Z123)</f>
        <v>4.6053965578937946E-11</v>
      </c>
      <c r="AB123" s="50">
        <f>Y122*Table1[[#This Row],[one-year conditional mortality NOW]]</f>
        <v>1.5057337670499052E-9</v>
      </c>
      <c r="AC123" s="14">
        <v>1.9699999999999999E-2</v>
      </c>
      <c r="AD123" s="28">
        <f>(1+Table1[[#This Row],[Yield curve now]])^(Table1[[#This Row],[age since issue]]-$A$23)</f>
        <v>7.0346408600213994</v>
      </c>
      <c r="AE123" s="46">
        <f t="shared" si="4"/>
        <v>10.891910747359335</v>
      </c>
      <c r="AF123" s="42">
        <f>1-Table1[[#This Row],[cumulative debt until t]]</f>
        <v>-9.8919107473593346</v>
      </c>
      <c r="AG123" s="46">
        <f>Table1[[#This Row],[cumulative debt until t]]*Table1[[#This Row],[Unconditional mortality NOW]]/Table1[[#This Row],[discouter with yield curve]]</f>
        <v>2.3313653285695707E-9</v>
      </c>
      <c r="AH123" s="48">
        <f>Table1[[#This Row],[Unconditional mortality NOW]]/Table1[[#This Row],[discouter with yield curve]]</f>
        <v>2.1404557773619232E-10</v>
      </c>
      <c r="AI123" s="29">
        <f>Table1[[#This Row],[user profit (death benefit - debt)]]*Table1[[#This Row],[Unconditional mortality NOW]]/Table1[[#This Row],[discouter with yield curve]]</f>
        <v>-2.1173197508333785E-9</v>
      </c>
      <c r="AJ123" s="29">
        <f>(1+$D$4)^(Table1[[#This Row],[age since issue]]-$A$23)</f>
        <v>1174313.4507002775</v>
      </c>
      <c r="AK123" s="57">
        <f>Table1[[#This Row],[level premium marked up]]*Table1[[#This Row],[unconditional survival NOW]]</f>
        <v>2.9979324554287841E-12</v>
      </c>
      <c r="AL123" s="62">
        <f>Table1[[#This Row],[cumulative debt until t]]*Table1[[#This Row],[Unconditional mortality NOW]]</f>
        <v>1.6400317799992718E-8</v>
      </c>
      <c r="AM123" s="47">
        <f>Table1[[#This Row],[probablistic premium stream]]/Table1[[#This Row],[lender discounter]]</f>
        <v>2.5529235432337332E-18</v>
      </c>
      <c r="AN123" s="58">
        <f>Table1[[#This Row],[probablistic repay from borrower]]/Table1[[#This Row],[lender discounter]]</f>
        <v>1.3965877500775222E-14</v>
      </c>
      <c r="AO123" s="47">
        <f>(Table1[[#This Row],[probablistic repay from borrower]]-Table1[[#This Row],[probablistic premium stream]])/Table1[[#This Row],[lender discounter]]</f>
        <v>1.3963324577231989E-14</v>
      </c>
      <c r="AP123" s="46">
        <f>AP122*(1+$D$4)+ Table1[[#This Row],[level premium marked up]]</f>
        <v>17925.197483420448</v>
      </c>
      <c r="AQ123" s="58">
        <f>AP123*Table1[[#This Row],[Unconditional mortality NOW]]</f>
        <v>2.6990575131824151E-5</v>
      </c>
      <c r="AR123" s="60">
        <f>Table1[[#This Row],[cumulative debt until t]]*Table1[[#This Row],[Unconditional mortality NOW]]</f>
        <v>1.6400317799992718E-8</v>
      </c>
      <c r="AS123" s="58">
        <f>Table1[[#This Row],[lender to pay cumulative probablistic undiscounted]]/Table1[[#This Row],[lender discounter]]</f>
        <v>2.2984131805463765E-11</v>
      </c>
    </row>
    <row r="124" spans="1:45" s="3" customFormat="1">
      <c r="A124" s="3">
        <v>128</v>
      </c>
      <c r="B124" s="8">
        <v>3.2000000000000001E-2</v>
      </c>
      <c r="C124" s="3">
        <v>0</v>
      </c>
      <c r="D124" s="8">
        <v>3.2000000000000001E-2</v>
      </c>
      <c r="E124" s="12">
        <v>0.99999999989999999</v>
      </c>
      <c r="F124" s="13">
        <f>1-Table1[[#This Row],[one-year conditional mortality AT ISSUE]]</f>
        <v>1.000000082740371E-10</v>
      </c>
      <c r="G124" s="13">
        <f>PRODUCT(F$17:F124)</f>
        <v>1.1156698756519523E-91</v>
      </c>
      <c r="H124" s="13">
        <f>Table1[[#This Row],[one-year conditional survival AT ISSUE]]*(1-Table1[[#This Row],[Lapse rate]])</f>
        <v>9.6800008009267909E-11</v>
      </c>
      <c r="I124" s="13">
        <f>PRODUCT(H$17:H124)</f>
        <v>2.2588791405388337E-93</v>
      </c>
      <c r="J124" s="13">
        <f>G123*Table1[[#This Row],[one-year conditional mortality AT ISSUE]]</f>
        <v>1.1156697832294537E-81</v>
      </c>
      <c r="K124" s="10">
        <f>I123*Table1[[#This Row],[one-year conditional mortality AT ISSUE]]</f>
        <v>2.3335526378227928E-83</v>
      </c>
      <c r="L124" s="3">
        <f t="shared" si="5"/>
        <v>1.9910109748700498E-3</v>
      </c>
      <c r="M124" s="44">
        <f>Table1[[#This Row],[Death benefit pay probability]]/Table1[[#This Row],[unconditional persistency AT ISSUE]]</f>
        <v>10330577656.607809</v>
      </c>
      <c r="N124" s="44">
        <f>Table1[[#This Row],[one-year conditional mortality AT ISSUE]]/Table1[[#This Row],[one-year conditional persistency AT ISSUE]]</f>
        <v>10330577656.607809</v>
      </c>
      <c r="O124" s="4">
        <f>(1+$B$14)^(Table1[[#This Row],[age since issue]]-$A$17)</f>
        <v>39.684181553401828</v>
      </c>
      <c r="P124" s="5">
        <f>(Table1[[#This Row],[level premium unmarked-up]]*Table1[[#This Row],[unconditional persistency AT ISSUE]]-Table1[[#This Row],[Death benefit pay probability]])</f>
        <v>-2.3335526378223429E-83</v>
      </c>
      <c r="Q124" s="4">
        <f>Table1[[#This Row],[Issuer profit with unmarked-up level premium]]/Table1[[#This Row],[Issuer discounter at issue]]</f>
        <v>-5.8803093486560895E-85</v>
      </c>
      <c r="R124" s="4">
        <f>(Table1[[#This Row],[variable premium unmarked up]]*Table1[[#This Row],[unconditional persistency AT ISSUE]]-Table1[[#This Row],[Death benefit pay probability]])</f>
        <v>0</v>
      </c>
      <c r="S124" s="6">
        <f>Table1[[#This Row],[level premium unmarked-up]]*(1+$B$15)</f>
        <v>1.9910109748700498E-3</v>
      </c>
      <c r="T124" s="6">
        <f>MIN(Table1[[#This Row],[variable premium unmarked up]]*(1+$B$15),1)</f>
        <v>1</v>
      </c>
      <c r="U124" s="6">
        <f>Table1[[#This Row],[level premium marked up]]-Table1[[#This Row],[variable premium marked up]]</f>
        <v>-0.99800898902512991</v>
      </c>
      <c r="V124" s="6">
        <f>Table1[[#This Row],[additional cash]]+V123*(1+$D$2)</f>
        <v>-30.901329799477768</v>
      </c>
      <c r="W124" s="12">
        <v>0.5</v>
      </c>
      <c r="X124" s="13">
        <f>1-Table1[[#This Row],[one-year conditional mortality NOW]]</f>
        <v>0.5</v>
      </c>
      <c r="Y124" s="49">
        <f>PRODUCT(X$17:X124)</f>
        <v>7.528668835249526E-10</v>
      </c>
      <c r="Z124" s="13">
        <f>Table1[[#This Row],[one-year conditional survival NOW]]*(1-Table1[[#This Row],[Lapse rate]])</f>
        <v>0.48399999999999999</v>
      </c>
      <c r="AA124" s="13">
        <f>PRODUCT(Z$17:Z124)</f>
        <v>2.2290119340205966E-11</v>
      </c>
      <c r="AB124" s="50">
        <f>Y123*Table1[[#This Row],[one-year conditional mortality NOW]]</f>
        <v>7.528668835249526E-10</v>
      </c>
      <c r="AC124" s="14">
        <v>1.9699999999999999E-2</v>
      </c>
      <c r="AD124" s="28">
        <f>(1+Table1[[#This Row],[Yield curve now]])^(Table1[[#This Row],[age since issue]]-$A$23)</f>
        <v>7.1732232849638216</v>
      </c>
      <c r="AE124" s="46">
        <f t="shared" si="4"/>
        <v>11.535303446829737</v>
      </c>
      <c r="AF124" s="42">
        <f>1-Table1[[#This Row],[cumulative debt until t]]</f>
        <v>-10.535303446829737</v>
      </c>
      <c r="AG124" s="46">
        <f>Table1[[#This Row],[cumulative debt until t]]*Table1[[#This Row],[Unconditional mortality NOW]]/Table1[[#This Row],[discouter with yield curve]]</f>
        <v>1.2106897571045215E-9</v>
      </c>
      <c r="AH124" s="48">
        <f>Table1[[#This Row],[Unconditional mortality NOW]]/Table1[[#This Row],[discouter with yield curve]]</f>
        <v>1.049551719800884E-10</v>
      </c>
      <c r="AI124" s="29">
        <f>Table1[[#This Row],[user profit (death benefit - debt)]]*Table1[[#This Row],[Unconditional mortality NOW]]/Table1[[#This Row],[discouter with yield curve]]</f>
        <v>-1.1057345851244333E-9</v>
      </c>
      <c r="AJ124" s="29">
        <f>(1+$D$4)^(Table1[[#This Row],[age since issue]]-$A$23)</f>
        <v>1350460.4683053191</v>
      </c>
      <c r="AK124" s="57">
        <f>Table1[[#This Row],[level premium marked up]]*Table1[[#This Row],[unconditional survival NOW]]</f>
        <v>1.498966227714392E-12</v>
      </c>
      <c r="AL124" s="62">
        <f>Table1[[#This Row],[cumulative debt until t]]*Table1[[#This Row],[Unconditional mortality NOW]]</f>
        <v>8.6845479565293472E-9</v>
      </c>
      <c r="AM124" s="47">
        <f>Table1[[#This Row],[probablistic premium stream]]/Table1[[#This Row],[lender discounter]]</f>
        <v>1.10996675792771E-18</v>
      </c>
      <c r="AN124" s="58">
        <f>Table1[[#This Row],[probablistic repay from borrower]]/Table1[[#This Row],[lender discounter]]</f>
        <v>6.4308050182524114E-15</v>
      </c>
      <c r="AO124" s="47">
        <f>(Table1[[#This Row],[probablistic repay from borrower]]-Table1[[#This Row],[probablistic premium stream]])/Table1[[#This Row],[lender discounter]]</f>
        <v>6.4296950514944832E-15</v>
      </c>
      <c r="AP124" s="46">
        <f>AP123*(1+$D$4)+ Table1[[#This Row],[level premium marked up]]</f>
        <v>20613.979096944488</v>
      </c>
      <c r="AQ124" s="58">
        <f>AP124*Table1[[#This Row],[Unconditional mortality NOW]]</f>
        <v>1.5519582199765115E-5</v>
      </c>
      <c r="AR124" s="60">
        <f>Table1[[#This Row],[cumulative debt until t]]*Table1[[#This Row],[Unconditional mortality NOW]]</f>
        <v>8.6845479565293472E-9</v>
      </c>
      <c r="AS124" s="58">
        <f>Table1[[#This Row],[lender to pay cumulative probablistic undiscounted]]/Table1[[#This Row],[lender discounter]]</f>
        <v>1.1492067012698641E-11</v>
      </c>
    </row>
    <row r="125" spans="1:45" s="3" customFormat="1">
      <c r="A125" s="3">
        <v>129</v>
      </c>
      <c r="B125" s="8">
        <v>3.2000000000000001E-2</v>
      </c>
      <c r="C125" s="3">
        <v>0</v>
      </c>
      <c r="D125" s="8">
        <v>3.2000000000000001E-2</v>
      </c>
      <c r="E125" s="12">
        <v>0.99999999989999999</v>
      </c>
      <c r="F125" s="13">
        <f>1-Table1[[#This Row],[one-year conditional mortality AT ISSUE]]</f>
        <v>1.000000082740371E-10</v>
      </c>
      <c r="G125" s="13">
        <f>PRODUCT(F$17:F125)</f>
        <v>1.1156699679628917E-101</v>
      </c>
      <c r="H125" s="13">
        <f>Table1[[#This Row],[one-year conditional survival AT ISSUE]]*(1-Table1[[#This Row],[Lapse rate]])</f>
        <v>9.6800008009267909E-11</v>
      </c>
      <c r="I125" s="13">
        <f>PRODUCT(H$17:H125)</f>
        <v>2.186595188961273E-103</v>
      </c>
      <c r="J125" s="13">
        <f>G124*Table1[[#This Row],[one-year conditional mortality AT ISSUE]]</f>
        <v>1.1156698755403853E-91</v>
      </c>
      <c r="K125" s="10">
        <f>I124*Table1[[#This Row],[one-year conditional mortality AT ISSUE]]</f>
        <v>2.2588791403129459E-93</v>
      </c>
      <c r="L125" s="3">
        <f t="shared" si="5"/>
        <v>1.9910109748700498E-3</v>
      </c>
      <c r="M125" s="44">
        <f>Table1[[#This Row],[Death benefit pay probability]]/Table1[[#This Row],[unconditional persistency AT ISSUE]]</f>
        <v>10330577656.607809</v>
      </c>
      <c r="N125" s="44">
        <f>Table1[[#This Row],[one-year conditional mortality AT ISSUE]]/Table1[[#This Row],[one-year conditional persistency AT ISSUE]]</f>
        <v>10330577656.607809</v>
      </c>
      <c r="O125" s="4">
        <f>(1+$B$14)^(Table1[[#This Row],[age since issue]]-$A$17)</f>
        <v>41.073127907770882</v>
      </c>
      <c r="P125" s="5">
        <f>(Table1[[#This Row],[level premium unmarked-up]]*Table1[[#This Row],[unconditional persistency AT ISSUE]]-Table1[[#This Row],[Death benefit pay probability]])</f>
        <v>-2.2588791403125107E-93</v>
      </c>
      <c r="Q125" s="4">
        <f>Table1[[#This Row],[Issuer profit with unmarked-up level premium]]/Table1[[#This Row],[Issuer discounter at issue]]</f>
        <v>-5.4996520970713294E-95</v>
      </c>
      <c r="R125" s="4">
        <f>(Table1[[#This Row],[variable premium unmarked up]]*Table1[[#This Row],[unconditional persistency AT ISSUE]]-Table1[[#This Row],[Death benefit pay probability]])</f>
        <v>0</v>
      </c>
      <c r="S125" s="6">
        <f>Table1[[#This Row],[level premium unmarked-up]]*(1+$B$15)</f>
        <v>1.9910109748700498E-3</v>
      </c>
      <c r="T125" s="6">
        <f>MIN(Table1[[#This Row],[variable premium unmarked up]]*(1+$B$15),1)</f>
        <v>1</v>
      </c>
      <c r="U125" s="6">
        <f>Table1[[#This Row],[level premium marked up]]-Table1[[#This Row],[variable premium marked up]]</f>
        <v>-0.99800898902512991</v>
      </c>
      <c r="V125" s="6">
        <f>Table1[[#This Row],[additional cash]]+V124*(1+$D$2)</f>
        <v>-31.930240118302372</v>
      </c>
      <c r="W125" s="12">
        <v>0.5</v>
      </c>
      <c r="X125" s="13">
        <f>1-Table1[[#This Row],[one-year conditional mortality NOW]]</f>
        <v>0.5</v>
      </c>
      <c r="Y125" s="49">
        <f>PRODUCT(X$17:X125)</f>
        <v>3.764334417624763E-10</v>
      </c>
      <c r="Z125" s="13">
        <f>Table1[[#This Row],[one-year conditional survival NOW]]*(1-Table1[[#This Row],[Lapse rate]])</f>
        <v>0.48399999999999999</v>
      </c>
      <c r="AA125" s="13">
        <f>PRODUCT(Z$17:Z125)</f>
        <v>1.0788417760659688E-11</v>
      </c>
      <c r="AB125" s="50">
        <f>Y124*Table1[[#This Row],[one-year conditional mortality NOW]]</f>
        <v>3.764334417624763E-10</v>
      </c>
      <c r="AC125" s="14">
        <v>1.9699999999999999E-2</v>
      </c>
      <c r="AD125" s="28">
        <f>(1+Table1[[#This Row],[Yield curve now]])^(Table1[[#This Row],[age since issue]]-$A$23)</f>
        <v>7.3145357836776084</v>
      </c>
      <c r="AE125" s="46">
        <f t="shared" si="4"/>
        <v>12.216577262998323</v>
      </c>
      <c r="AF125" s="42">
        <f>1-Table1[[#This Row],[cumulative debt until t]]</f>
        <v>-11.216577262998323</v>
      </c>
      <c r="AG125" s="46">
        <f>Table1[[#This Row],[cumulative debt until t]]*Table1[[#This Row],[Unconditional mortality NOW]]/Table1[[#This Row],[discouter with yield curve]]</f>
        <v>6.2871087949692404E-10</v>
      </c>
      <c r="AH125" s="48">
        <f>Table1[[#This Row],[Unconditional mortality NOW]]/Table1[[#This Row],[discouter with yield curve]]</f>
        <v>5.1463750112821622E-11</v>
      </c>
      <c r="AI125" s="29">
        <f>Table1[[#This Row],[user profit (death benefit - debt)]]*Table1[[#This Row],[Unconditional mortality NOW]]/Table1[[#This Row],[discouter with yield curve]]</f>
        <v>-5.7724712938410229E-10</v>
      </c>
      <c r="AJ125" s="29">
        <f>(1+$D$4)^(Table1[[#This Row],[age since issue]]-$A$23)</f>
        <v>1553029.5385511168</v>
      </c>
      <c r="AK125" s="57">
        <f>Table1[[#This Row],[level premium marked up]]*Table1[[#This Row],[unconditional survival NOW]]</f>
        <v>7.4948311385719602E-13</v>
      </c>
      <c r="AL125" s="62">
        <f>Table1[[#This Row],[cumulative debt until t]]*Table1[[#This Row],[Unconditional mortality NOW]]</f>
        <v>4.5987282256676714E-9</v>
      </c>
      <c r="AM125" s="47">
        <f>Table1[[#This Row],[probablistic premium stream]]/Table1[[#This Row],[lender discounter]]</f>
        <v>4.8259424257726527E-19</v>
      </c>
      <c r="AN125" s="58">
        <f>Table1[[#This Row],[probablistic repay from borrower]]/Table1[[#This Row],[lender discounter]]</f>
        <v>2.9611337785358597E-15</v>
      </c>
      <c r="AO125" s="47">
        <f>(Table1[[#This Row],[probablistic repay from borrower]]-Table1[[#This Row],[probablistic premium stream]])/Table1[[#This Row],[lender discounter]]</f>
        <v>2.9606511842932827E-15</v>
      </c>
      <c r="AP125" s="46">
        <f>AP124*(1+$D$4)+ Table1[[#This Row],[level premium marked up]]</f>
        <v>23706.077952497133</v>
      </c>
      <c r="AQ125" s="58">
        <f>AP125*Table1[[#This Row],[Unconditional mortality NOW]]</f>
        <v>8.9237605143480532E-6</v>
      </c>
      <c r="AR125" s="60">
        <f>Table1[[#This Row],[cumulative debt until t]]*Table1[[#This Row],[Unconditional mortality NOW]]</f>
        <v>4.5987282256676714E-9</v>
      </c>
      <c r="AS125" s="58">
        <f>Table1[[#This Row],[lender to pay cumulative probablistic undiscounted]]/Table1[[#This Row],[lender discounter]]</f>
        <v>5.7460339889435616E-12</v>
      </c>
    </row>
    <row r="126" spans="1:45" s="3" customFormat="1">
      <c r="A126" s="3">
        <v>130</v>
      </c>
      <c r="B126" s="8">
        <v>3.2000000000000001E-2</v>
      </c>
      <c r="C126" s="3">
        <v>0</v>
      </c>
      <c r="D126" s="8">
        <v>3.2000000000000001E-2</v>
      </c>
      <c r="E126" s="12">
        <v>0.99999999989999999</v>
      </c>
      <c r="F126" s="13">
        <f>1-Table1[[#This Row],[one-year conditional mortality AT ISSUE]]</f>
        <v>1.000000082740371E-10</v>
      </c>
      <c r="G126" s="13">
        <f>PRODUCT(F$17:F126)</f>
        <v>1.1156700602738388E-111</v>
      </c>
      <c r="H126" s="13">
        <f>Table1[[#This Row],[one-year conditional survival AT ISSUE]]*(1-Table1[[#This Row],[Lapse rate]])</f>
        <v>9.6800008009267909E-11</v>
      </c>
      <c r="I126" s="13">
        <f>PRODUCT(H$17:H126)</f>
        <v>2.1166243180447791E-113</v>
      </c>
      <c r="J126" s="13">
        <f>G125*Table1[[#This Row],[one-year conditional mortality AT ISSUE]]</f>
        <v>1.1156699678513247E-101</v>
      </c>
      <c r="K126" s="10">
        <f>I125*Table1[[#This Row],[one-year conditional mortality AT ISSUE]]</f>
        <v>2.1865951887426135E-103</v>
      </c>
      <c r="L126" s="3">
        <f t="shared" si="5"/>
        <v>1.9910109748700498E-3</v>
      </c>
      <c r="M126" s="44">
        <f>Table1[[#This Row],[Death benefit pay probability]]/Table1[[#This Row],[unconditional persistency AT ISSUE]]</f>
        <v>10330577656.607809</v>
      </c>
      <c r="N126" s="44">
        <f>Table1[[#This Row],[one-year conditional mortality AT ISSUE]]/Table1[[#This Row],[one-year conditional persistency AT ISSUE]]</f>
        <v>10330577656.607809</v>
      </c>
      <c r="O126" s="4">
        <f>(1+$B$14)^(Table1[[#This Row],[age since issue]]-$A$17)</f>
        <v>42.510687384542862</v>
      </c>
      <c r="P126" s="5">
        <f>(Table1[[#This Row],[level premium unmarked-up]]*Table1[[#This Row],[unconditional persistency AT ISSUE]]-Table1[[#This Row],[Death benefit pay probability]])</f>
        <v>-2.1865951887421922E-103</v>
      </c>
      <c r="Q126" s="4">
        <f>Table1[[#This Row],[Issuer profit with unmarked-up level premium]]/Table1[[#This Row],[Issuer discounter at issue]]</f>
        <v>-5.1436363965670691E-105</v>
      </c>
      <c r="R126" s="4">
        <f>(Table1[[#This Row],[variable premium unmarked up]]*Table1[[#This Row],[unconditional persistency AT ISSUE]]-Table1[[#This Row],[Death benefit pay probability]])</f>
        <v>0</v>
      </c>
      <c r="S126" s="6">
        <f>Table1[[#This Row],[level premium unmarked-up]]*(1+$B$15)</f>
        <v>1.9910109748700498E-3</v>
      </c>
      <c r="T126" s="6">
        <f>MIN(Table1[[#This Row],[variable premium unmarked up]]*(1+$B$15),1)</f>
        <v>1</v>
      </c>
      <c r="U126" s="6">
        <f>Table1[[#This Row],[level premium marked up]]-Table1[[#This Row],[variable premium marked up]]</f>
        <v>-0.99800898902512991</v>
      </c>
      <c r="V126" s="6">
        <f>Table1[[#This Row],[additional cash]]+V125*(1+$D$2)</f>
        <v>-32.960179347445802</v>
      </c>
      <c r="W126" s="12">
        <v>0.5</v>
      </c>
      <c r="X126" s="13">
        <f>1-Table1[[#This Row],[one-year conditional mortality NOW]]</f>
        <v>0.5</v>
      </c>
      <c r="Y126" s="49">
        <f>PRODUCT(X$17:X126)</f>
        <v>1.8821672088123815E-10</v>
      </c>
      <c r="Z126" s="13">
        <f>Table1[[#This Row],[one-year conditional survival NOW]]*(1-Table1[[#This Row],[Lapse rate]])</f>
        <v>0.48399999999999999</v>
      </c>
      <c r="AA126" s="13">
        <f>PRODUCT(Z$17:Z126)</f>
        <v>5.2215941961592883E-12</v>
      </c>
      <c r="AB126" s="50">
        <f>Y125*Table1[[#This Row],[one-year conditional mortality NOW]]</f>
        <v>1.8821672088123815E-10</v>
      </c>
      <c r="AC126" s="14">
        <v>1.9699999999999999E-2</v>
      </c>
      <c r="AD126" s="28">
        <f>(1+Table1[[#This Row],[Yield curve now]])^(Table1[[#This Row],[age since issue]]-$A$23)</f>
        <v>7.458632138616057</v>
      </c>
      <c r="AE126" s="46">
        <f t="shared" si="4"/>
        <v>12.937962527361679</v>
      </c>
      <c r="AF126" s="42">
        <f>1-Table1[[#This Row],[cumulative debt until t]]</f>
        <v>-11.937962527361679</v>
      </c>
      <c r="AG126" s="46">
        <f>Table1[[#This Row],[cumulative debt until t]]*Table1[[#This Row],[Unconditional mortality NOW]]/Table1[[#This Row],[discouter with yield curve]]</f>
        <v>3.2648625599548472E-10</v>
      </c>
      <c r="AH126" s="48">
        <f>Table1[[#This Row],[Unconditional mortality NOW]]/Table1[[#This Row],[discouter with yield curve]]</f>
        <v>2.5234750472110241E-11</v>
      </c>
      <c r="AI126" s="29">
        <f>Table1[[#This Row],[user profit (death benefit - debt)]]*Table1[[#This Row],[Unconditional mortality NOW]]/Table1[[#This Row],[discouter with yield curve]]</f>
        <v>-3.012515055233745E-10</v>
      </c>
      <c r="AJ126" s="29">
        <f>(1+$D$4)^(Table1[[#This Row],[age since issue]]-$A$23)</f>
        <v>1785983.9693337837</v>
      </c>
      <c r="AK126" s="57">
        <f>Table1[[#This Row],[level premium marked up]]*Table1[[#This Row],[unconditional survival NOW]]</f>
        <v>3.7474155692859801E-13</v>
      </c>
      <c r="AL126" s="62">
        <f>Table1[[#This Row],[cumulative debt until t]]*Table1[[#This Row],[Unconditional mortality NOW]]</f>
        <v>2.4351408817843515E-9</v>
      </c>
      <c r="AM126" s="47">
        <f>Table1[[#This Row],[probablistic premium stream]]/Table1[[#This Row],[lender discounter]]</f>
        <v>2.0982358372924583E-19</v>
      </c>
      <c r="AN126" s="58">
        <f>Table1[[#This Row],[probablistic repay from borrower]]/Table1[[#This Row],[lender discounter]]</f>
        <v>1.3634729782556332E-15</v>
      </c>
      <c r="AO126" s="47">
        <f>(Table1[[#This Row],[probablistic repay from borrower]]-Table1[[#This Row],[probablistic premium stream]])/Table1[[#This Row],[lender discounter]]</f>
        <v>1.3632631546719039E-15</v>
      </c>
      <c r="AP126" s="46">
        <f>AP125*(1+$D$4)+ Table1[[#This Row],[level premium marked up]]</f>
        <v>27261.991636382674</v>
      </c>
      <c r="AQ126" s="58">
        <f>AP126*Table1[[#This Row],[Unconditional mortality NOW]]</f>
        <v>5.131162670491687E-6</v>
      </c>
      <c r="AR126" s="60">
        <f>Table1[[#This Row],[cumulative debt until t]]*Table1[[#This Row],[Unconditional mortality NOW]]</f>
        <v>2.4351408817843515E-9</v>
      </c>
      <c r="AS126" s="58">
        <f>Table1[[#This Row],[lender to pay cumulative probablistic undiscounted]]/Table1[[#This Row],[lender discounter]]</f>
        <v>2.8730172042953654E-12</v>
      </c>
    </row>
    <row r="127" spans="1:45" s="3" customFormat="1">
      <c r="A127" s="3">
        <v>131</v>
      </c>
      <c r="B127" s="8">
        <v>3.2000000000000001E-2</v>
      </c>
      <c r="C127" s="3">
        <v>0</v>
      </c>
      <c r="D127" s="8">
        <v>3.2000000000000001E-2</v>
      </c>
      <c r="E127" s="12">
        <v>0.99999999989999999</v>
      </c>
      <c r="F127" s="13">
        <f>1-Table1[[#This Row],[one-year conditional mortality AT ISSUE]]</f>
        <v>1.000000082740371E-10</v>
      </c>
      <c r="G127" s="13">
        <f>PRODUCT(F$17:F127)</f>
        <v>1.1156701525847935E-121</v>
      </c>
      <c r="H127" s="13">
        <f>Table1[[#This Row],[one-year conditional survival AT ISSUE]]*(1-Table1[[#This Row],[Lapse rate]])</f>
        <v>9.6800008009267909E-11</v>
      </c>
      <c r="I127" s="13">
        <f>PRODUCT(H$17:H127)</f>
        <v>2.0488925093934583E-123</v>
      </c>
      <c r="J127" s="13">
        <f>G126*Table1[[#This Row],[one-year conditional mortality AT ISSUE]]</f>
        <v>1.1156700601622717E-111</v>
      </c>
      <c r="K127" s="10">
        <f>I126*Table1[[#This Row],[one-year conditional mortality AT ISSUE]]</f>
        <v>2.1166243178331165E-113</v>
      </c>
      <c r="L127" s="3">
        <f t="shared" si="5"/>
        <v>1.9910109748700498E-3</v>
      </c>
      <c r="M127" s="44">
        <f>Table1[[#This Row],[Death benefit pay probability]]/Table1[[#This Row],[unconditional persistency AT ISSUE]]</f>
        <v>10330577656.607809</v>
      </c>
      <c r="N127" s="44">
        <f>Table1[[#This Row],[one-year conditional mortality AT ISSUE]]/Table1[[#This Row],[one-year conditional persistency AT ISSUE]]</f>
        <v>10330577656.607809</v>
      </c>
      <c r="O127" s="4">
        <f>(1+$B$14)^(Table1[[#This Row],[age since issue]]-$A$17)</f>
        <v>43.998561443001869</v>
      </c>
      <c r="P127" s="5">
        <f>(Table1[[#This Row],[level premium unmarked-up]]*Table1[[#This Row],[unconditional persistency AT ISSUE]]-Table1[[#This Row],[Death benefit pay probability]])</f>
        <v>-2.1166243178327085E-113</v>
      </c>
      <c r="Q127" s="4">
        <f>Table1[[#This Row],[Issuer profit with unmarked-up level premium]]/Table1[[#This Row],[Issuer discounter at issue]]</f>
        <v>-4.8106670955019723E-115</v>
      </c>
      <c r="R127" s="4">
        <f>(Table1[[#This Row],[variable premium unmarked up]]*Table1[[#This Row],[unconditional persistency AT ISSUE]]-Table1[[#This Row],[Death benefit pay probability]])</f>
        <v>0</v>
      </c>
      <c r="S127" s="6">
        <f>Table1[[#This Row],[level premium unmarked-up]]*(1+$B$15)</f>
        <v>1.9910109748700498E-3</v>
      </c>
      <c r="T127" s="6">
        <f>MIN(Table1[[#This Row],[variable premium unmarked up]]*(1+$B$15),1)</f>
        <v>1</v>
      </c>
      <c r="U127" s="6">
        <f>Table1[[#This Row],[level premium marked up]]-Table1[[#This Row],[variable premium marked up]]</f>
        <v>-0.99800898902512991</v>
      </c>
      <c r="V127" s="6">
        <f>Table1[[#This Row],[additional cash]]+V126*(1+$D$2)</f>
        <v>-33.991148515818374</v>
      </c>
      <c r="W127" s="12">
        <v>0.5</v>
      </c>
      <c r="X127" s="13">
        <f>1-Table1[[#This Row],[one-year conditional mortality NOW]]</f>
        <v>0.5</v>
      </c>
      <c r="Y127" s="49">
        <f>PRODUCT(X$17:X127)</f>
        <v>9.4108360440619074E-11</v>
      </c>
      <c r="Z127" s="13">
        <f>Table1[[#This Row],[one-year conditional survival NOW]]*(1-Table1[[#This Row],[Lapse rate]])</f>
        <v>0.48399999999999999</v>
      </c>
      <c r="AA127" s="13">
        <f>PRODUCT(Z$17:Z127)</f>
        <v>2.5272515909410954E-12</v>
      </c>
      <c r="AB127" s="50">
        <f>Y126*Table1[[#This Row],[one-year conditional mortality NOW]]</f>
        <v>9.4108360440619074E-11</v>
      </c>
      <c r="AC127" s="14">
        <v>1.9699999999999999E-2</v>
      </c>
      <c r="AD127" s="28">
        <f>(1+Table1[[#This Row],[Yield curve now]])^(Table1[[#This Row],[age since issue]]-$A$23)</f>
        <v>7.6055671917467942</v>
      </c>
      <c r="AE127" s="46">
        <f t="shared" si="4"/>
        <v>13.701820886937636</v>
      </c>
      <c r="AF127" s="42">
        <f>1-Table1[[#This Row],[cumulative debt until t]]</f>
        <v>-12.701820886937636</v>
      </c>
      <c r="AG127" s="46">
        <f>Table1[[#This Row],[cumulative debt until t]]*Table1[[#This Row],[Unconditional mortality NOW]]/Table1[[#This Row],[discouter with yield curve]]</f>
        <v>1.6954105673012622E-10</v>
      </c>
      <c r="AH127" s="48">
        <f>Table1[[#This Row],[Unconditional mortality NOW]]/Table1[[#This Row],[discouter with yield curve]]</f>
        <v>1.2373615020158005E-11</v>
      </c>
      <c r="AI127" s="29">
        <f>Table1[[#This Row],[user profit (death benefit - debt)]]*Table1[[#This Row],[Unconditional mortality NOW]]/Table1[[#This Row],[discouter with yield curve]]</f>
        <v>-1.5716744170996822E-10</v>
      </c>
      <c r="AJ127" s="29">
        <f>(1+$D$4)^(Table1[[#This Row],[age since issue]]-$A$23)</f>
        <v>2053881.5647338515</v>
      </c>
      <c r="AK127" s="57">
        <f>Table1[[#This Row],[level premium marked up]]*Table1[[#This Row],[unconditional survival NOW]]</f>
        <v>1.87370778464299E-13</v>
      </c>
      <c r="AL127" s="62">
        <f>Table1[[#This Row],[cumulative debt until t]]*Table1[[#This Row],[Unconditional mortality NOW]]</f>
        <v>1.28945589872073E-9</v>
      </c>
      <c r="AM127" s="47">
        <f>Table1[[#This Row],[probablistic premium stream]]/Table1[[#This Row],[lender discounter]]</f>
        <v>9.1227645099672091E-20</v>
      </c>
      <c r="AN127" s="58">
        <f>Table1[[#This Row],[probablistic repay from borrower]]/Table1[[#This Row],[lender discounter]]</f>
        <v>6.2781414511007684E-16</v>
      </c>
      <c r="AO127" s="47">
        <f>(Table1[[#This Row],[probablistic repay from borrower]]-Table1[[#This Row],[probablistic premium stream]])/Table1[[#This Row],[lender discounter]]</f>
        <v>6.2772291746497718E-16</v>
      </c>
      <c r="AP127" s="46">
        <f>AP126*(1+$D$4)+ Table1[[#This Row],[level premium marked up]]</f>
        <v>31351.292372851047</v>
      </c>
      <c r="AQ127" s="58">
        <f>AP127*Table1[[#This Row],[Unconditional mortality NOW]]</f>
        <v>2.950418722903498E-6</v>
      </c>
      <c r="AR127" s="60">
        <f>Table1[[#This Row],[cumulative debt until t]]*Table1[[#This Row],[Unconditional mortality NOW]]</f>
        <v>1.28945589872073E-9</v>
      </c>
      <c r="AS127" s="58">
        <f>Table1[[#This Row],[lender to pay cumulative probablistic undiscounted]]/Table1[[#This Row],[lender discounter]]</f>
        <v>1.4365086933753275E-12</v>
      </c>
    </row>
    <row r="128" spans="1:45" s="3" customFormat="1">
      <c r="A128" s="3">
        <v>132</v>
      </c>
      <c r="B128" s="8">
        <v>3.2000000000000001E-2</v>
      </c>
      <c r="C128" s="3">
        <v>0</v>
      </c>
      <c r="D128" s="8">
        <v>3.2000000000000001E-2</v>
      </c>
      <c r="E128" s="12">
        <v>0.99999999989999999</v>
      </c>
      <c r="F128" s="13">
        <f>1-Table1[[#This Row],[one-year conditional mortality AT ISSUE]]</f>
        <v>1.000000082740371E-10</v>
      </c>
      <c r="G128" s="13">
        <f>PRODUCT(F$17:F128)</f>
        <v>1.1156702448957559E-131</v>
      </c>
      <c r="H128" s="13">
        <f>Table1[[#This Row],[one-year conditional survival AT ISSUE]]*(1-Table1[[#This Row],[Lapse rate]])</f>
        <v>9.6800008009267909E-11</v>
      </c>
      <c r="I128" s="13">
        <f>PRODUCT(H$17:H128)</f>
        <v>1.9833281131941579E-133</v>
      </c>
      <c r="J128" s="13">
        <f>G127*Table1[[#This Row],[one-year conditional mortality AT ISSUE]]</f>
        <v>1.1156701524732265E-121</v>
      </c>
      <c r="K128" s="10">
        <f>I127*Table1[[#This Row],[one-year conditional mortality AT ISSUE]]</f>
        <v>2.0488925091885691E-123</v>
      </c>
      <c r="L128" s="3">
        <f t="shared" si="5"/>
        <v>1.9910109748700498E-3</v>
      </c>
      <c r="M128" s="44">
        <f>Table1[[#This Row],[Death benefit pay probability]]/Table1[[#This Row],[unconditional persistency AT ISSUE]]</f>
        <v>10330577656.607809</v>
      </c>
      <c r="N128" s="44">
        <f>Table1[[#This Row],[one-year conditional mortality AT ISSUE]]/Table1[[#This Row],[one-year conditional persistency AT ISSUE]]</f>
        <v>10330577656.607809</v>
      </c>
      <c r="O128" s="4">
        <f>(1+$B$14)^(Table1[[#This Row],[age since issue]]-$A$17)</f>
        <v>45.538511093506919</v>
      </c>
      <c r="P128" s="5">
        <f>(Table1[[#This Row],[level premium unmarked-up]]*Table1[[#This Row],[unconditional persistency AT ISSUE]]-Table1[[#This Row],[Death benefit pay probability]])</f>
        <v>-2.0488925091881741E-123</v>
      </c>
      <c r="Q128" s="4">
        <f>Table1[[#This Row],[Issuer profit with unmarked-up level premium]]/Table1[[#This Row],[Issuer discounter at issue]]</f>
        <v>-4.4992523031353875E-125</v>
      </c>
      <c r="R128" s="4">
        <f>(Table1[[#This Row],[variable premium unmarked up]]*Table1[[#This Row],[unconditional persistency AT ISSUE]]-Table1[[#This Row],[Death benefit pay probability]])</f>
        <v>0</v>
      </c>
      <c r="S128" s="6">
        <f>Table1[[#This Row],[level premium unmarked-up]]*(1+$B$15)</f>
        <v>1.9910109748700498E-3</v>
      </c>
      <c r="T128" s="6">
        <f>MIN(Table1[[#This Row],[variable premium unmarked up]]*(1+$B$15),1)</f>
        <v>1</v>
      </c>
      <c r="U128" s="6">
        <f>Table1[[#This Row],[level premium marked up]]-Table1[[#This Row],[variable premium marked up]]</f>
        <v>-0.99800898902512991</v>
      </c>
      <c r="V128" s="6">
        <f>Table1[[#This Row],[additional cash]]+V127*(1+$D$2)</f>
        <v>-35.023148653359321</v>
      </c>
      <c r="W128" s="12">
        <v>0.5</v>
      </c>
      <c r="X128" s="13">
        <f>1-Table1[[#This Row],[one-year conditional mortality NOW]]</f>
        <v>0.5</v>
      </c>
      <c r="Y128" s="49">
        <f>PRODUCT(X$17:X128)</f>
        <v>4.7054180220309537E-11</v>
      </c>
      <c r="Z128" s="13">
        <f>Table1[[#This Row],[one-year conditional survival NOW]]*(1-Table1[[#This Row],[Lapse rate]])</f>
        <v>0.48399999999999999</v>
      </c>
      <c r="AA128" s="13">
        <f>PRODUCT(Z$17:Z128)</f>
        <v>1.2231897700154902E-12</v>
      </c>
      <c r="AB128" s="50">
        <f>Y127*Table1[[#This Row],[one-year conditional mortality NOW]]</f>
        <v>4.7054180220309537E-11</v>
      </c>
      <c r="AC128" s="14">
        <v>1.9699999999999999E-2</v>
      </c>
      <c r="AD128" s="28">
        <f>(1+Table1[[#This Row],[Yield curve now]])^(Table1[[#This Row],[age since issue]]-$A$23)</f>
        <v>7.7553968654242063</v>
      </c>
      <c r="AE128" s="46">
        <f t="shared" si="4"/>
        <v>14.510653035746513</v>
      </c>
      <c r="AF128" s="42">
        <f>1-Table1[[#This Row],[cumulative debt until t]]</f>
        <v>-13.510653035746513</v>
      </c>
      <c r="AG128" s="46">
        <f>Table1[[#This Row],[cumulative debt until t]]*Table1[[#This Row],[Unconditional mortality NOW]]/Table1[[#This Row],[discouter with yield curve]]</f>
        <v>8.8040224750129644E-11</v>
      </c>
      <c r="AH128" s="48">
        <f>Table1[[#This Row],[Unconditional mortality NOW]]/Table1[[#This Row],[discouter with yield curve]]</f>
        <v>6.067282053622637E-12</v>
      </c>
      <c r="AI128" s="29">
        <f>Table1[[#This Row],[user profit (death benefit - debt)]]*Table1[[#This Row],[Unconditional mortality NOW]]/Table1[[#This Row],[discouter with yield curve]]</f>
        <v>-8.1972942696507021E-11</v>
      </c>
      <c r="AJ128" s="29">
        <f>(1+$D$4)^(Table1[[#This Row],[age since issue]]-$A$23)</f>
        <v>2361963.799443929</v>
      </c>
      <c r="AK128" s="57">
        <f>Table1[[#This Row],[level premium marked up]]*Table1[[#This Row],[unconditional survival NOW]]</f>
        <v>9.3685389232149502E-14</v>
      </c>
      <c r="AL128" s="62">
        <f>Table1[[#This Row],[cumulative debt until t]]*Table1[[#This Row],[Unconditional mortality NOW]]</f>
        <v>6.8278688305839809E-10</v>
      </c>
      <c r="AM128" s="47">
        <f>Table1[[#This Row],[probablistic premium stream]]/Table1[[#This Row],[lender discounter]]</f>
        <v>3.9664193521596566E-20</v>
      </c>
      <c r="AN128" s="58">
        <f>Table1[[#This Row],[probablistic repay from borrower]]/Table1[[#This Row],[lender discounter]]</f>
        <v>2.890759304690211E-16</v>
      </c>
      <c r="AO128" s="47">
        <f>(Table1[[#This Row],[probablistic repay from borrower]]-Table1[[#This Row],[probablistic premium stream]])/Table1[[#This Row],[lender discounter]]</f>
        <v>2.8903626627549948E-16</v>
      </c>
      <c r="AP128" s="46">
        <f>AP127*(1+$D$4)+ Table1[[#This Row],[level premium marked up]]</f>
        <v>36053.98821978968</v>
      </c>
      <c r="AQ128" s="58">
        <f>AP128*Table1[[#This Row],[Unconditional mortality NOW]]</f>
        <v>1.6964908593549006E-6</v>
      </c>
      <c r="AR128" s="60">
        <f>Table1[[#This Row],[cumulative debt until t]]*Table1[[#This Row],[Unconditional mortality NOW]]</f>
        <v>6.8278688305839809E-10</v>
      </c>
      <c r="AS128" s="58">
        <f>Table1[[#This Row],[lender to pay cumulative probablistic undiscounted]]/Table1[[#This Row],[lender discounter]]</f>
        <v>7.1825438635185736E-13</v>
      </c>
    </row>
    <row r="129" spans="1:45" s="3" customFormat="1">
      <c r="A129" s="3">
        <v>133</v>
      </c>
      <c r="B129" s="8">
        <v>3.2000000000000001E-2</v>
      </c>
      <c r="C129" s="3">
        <v>0</v>
      </c>
      <c r="D129" s="8">
        <v>3.2000000000000001E-2</v>
      </c>
      <c r="E129" s="12">
        <v>0.99999999989999999</v>
      </c>
      <c r="F129" s="13">
        <f>1-Table1[[#This Row],[one-year conditional mortality AT ISSUE]]</f>
        <v>1.000000082740371E-10</v>
      </c>
      <c r="G129" s="13">
        <f>PRODUCT(F$17:F129)</f>
        <v>1.1156703372067259E-141</v>
      </c>
      <c r="H129" s="13">
        <f>Table1[[#This Row],[one-year conditional survival AT ISSUE]]*(1-Table1[[#This Row],[Lapse rate]])</f>
        <v>9.6800008009267909E-11</v>
      </c>
      <c r="I129" s="13">
        <f>PRODUCT(H$17:H129)</f>
        <v>1.9198617724220069E-143</v>
      </c>
      <c r="J129" s="13">
        <f>G128*Table1[[#This Row],[one-year conditional mortality AT ISSUE]]</f>
        <v>1.1156702447841888E-131</v>
      </c>
      <c r="K129" s="10">
        <f>I128*Table1[[#This Row],[one-year conditional mortality AT ISSUE]]</f>
        <v>1.9833281129958249E-133</v>
      </c>
      <c r="L129" s="3">
        <f t="shared" si="5"/>
        <v>1.9910109748700498E-3</v>
      </c>
      <c r="M129" s="44">
        <f>Table1[[#This Row],[Death benefit pay probability]]/Table1[[#This Row],[unconditional persistency AT ISSUE]]</f>
        <v>10330577656.607807</v>
      </c>
      <c r="N129" s="44">
        <f>Table1[[#This Row],[one-year conditional mortality AT ISSUE]]/Table1[[#This Row],[one-year conditional persistency AT ISSUE]]</f>
        <v>10330577656.607809</v>
      </c>
      <c r="O129" s="4">
        <f>(1+$B$14)^(Table1[[#This Row],[age since issue]]-$A$17)</f>
        <v>47.132358981779653</v>
      </c>
      <c r="P129" s="5">
        <f>(Table1[[#This Row],[level premium unmarked-up]]*Table1[[#This Row],[unconditional persistency AT ISSUE]]-Table1[[#This Row],[Death benefit pay probability]])</f>
        <v>-1.9833281129954425E-133</v>
      </c>
      <c r="Q129" s="4">
        <f>Table1[[#This Row],[Issuer profit with unmarked-up level premium]]/Table1[[#This Row],[Issuer discounter at issue]]</f>
        <v>-4.2079967051132624E-135</v>
      </c>
      <c r="R129" s="4">
        <f>(Table1[[#This Row],[variable premium unmarked up]]*Table1[[#This Row],[unconditional persistency AT ISSUE]]-Table1[[#This Row],[Death benefit pay probability]])</f>
        <v>0</v>
      </c>
      <c r="S129" s="6">
        <f>Table1[[#This Row],[level premium unmarked-up]]*(1+$B$15)</f>
        <v>1.9910109748700498E-3</v>
      </c>
      <c r="T129" s="6">
        <f>MIN(Table1[[#This Row],[variable premium unmarked up]]*(1+$B$15),1)</f>
        <v>1</v>
      </c>
      <c r="U129" s="6">
        <f>Table1[[#This Row],[level premium marked up]]-Table1[[#This Row],[variable premium marked up]]</f>
        <v>-0.99800898902512991</v>
      </c>
      <c r="V129" s="6">
        <f>Table1[[#This Row],[additional cash]]+V128*(1+$D$2)</f>
        <v>-36.056180791037811</v>
      </c>
      <c r="W129" s="12">
        <v>0.5</v>
      </c>
      <c r="X129" s="13">
        <f>1-Table1[[#This Row],[one-year conditional mortality NOW]]</f>
        <v>0.5</v>
      </c>
      <c r="Y129" s="49">
        <f>PRODUCT(X$17:X129)</f>
        <v>2.3527090110154769E-11</v>
      </c>
      <c r="Z129" s="13">
        <f>Table1[[#This Row],[one-year conditional survival NOW]]*(1-Table1[[#This Row],[Lapse rate]])</f>
        <v>0.48399999999999999</v>
      </c>
      <c r="AA129" s="13">
        <f>PRODUCT(Z$17:Z129)</f>
        <v>5.9202384868749725E-13</v>
      </c>
      <c r="AB129" s="50">
        <f>Y128*Table1[[#This Row],[one-year conditional mortality NOW]]</f>
        <v>2.3527090110154769E-11</v>
      </c>
      <c r="AC129" s="14">
        <v>1.9699999999999999E-2</v>
      </c>
      <c r="AD129" s="28">
        <f>(1+Table1[[#This Row],[Yield curve now]])^(Table1[[#This Row],[age since issue]]-$A$23)</f>
        <v>7.9081781836730629</v>
      </c>
      <c r="AE129" s="46">
        <f t="shared" si="4"/>
        <v>15.367106901499788</v>
      </c>
      <c r="AF129" s="42">
        <f>1-Table1[[#This Row],[cumulative debt until t]]</f>
        <v>-14.367106901499788</v>
      </c>
      <c r="AG129" s="46">
        <f>Table1[[#This Row],[cumulative debt until t]]*Table1[[#This Row],[Unconditional mortality NOW]]/Table1[[#This Row],[discouter with yield curve]]</f>
        <v>4.5717648288501635E-11</v>
      </c>
      <c r="AH129" s="48">
        <f>Table1[[#This Row],[Unconditional mortality NOW]]/Table1[[#This Row],[discouter with yield curve]]</f>
        <v>2.9750328790931826E-12</v>
      </c>
      <c r="AI129" s="29">
        <f>Table1[[#This Row],[user profit (death benefit - debt)]]*Table1[[#This Row],[Unconditional mortality NOW]]/Table1[[#This Row],[discouter with yield curve]]</f>
        <v>-4.2742615409408446E-11</v>
      </c>
      <c r="AJ129" s="29">
        <f>(1+$D$4)^(Table1[[#This Row],[age since issue]]-$A$23)</f>
        <v>2716258.3693605177</v>
      </c>
      <c r="AK129" s="57">
        <f>Table1[[#This Row],[level premium marked up]]*Table1[[#This Row],[unconditional survival NOW]]</f>
        <v>4.6842694616074751E-14</v>
      </c>
      <c r="AL129" s="62">
        <f>Table1[[#This Row],[cumulative debt until t]]*Table1[[#This Row],[Unconditional mortality NOW]]</f>
        <v>3.6154330880396677E-10</v>
      </c>
      <c r="AM129" s="47">
        <f>Table1[[#This Row],[probablistic premium stream]]/Table1[[#This Row],[lender discounter]]</f>
        <v>1.7245301531128948E-20</v>
      </c>
      <c r="AN129" s="58">
        <f>Table1[[#This Row],[probablistic repay from borrower]]/Table1[[#This Row],[lender discounter]]</f>
        <v>1.3310343113239411E-16</v>
      </c>
      <c r="AO129" s="47">
        <f>(Table1[[#This Row],[probablistic repay from borrower]]-Table1[[#This Row],[probablistic premium stream]])/Table1[[#This Row],[lender discounter]]</f>
        <v>1.3308618583086297E-16</v>
      </c>
      <c r="AP129" s="46">
        <f>AP128*(1+$D$4)+ Table1[[#This Row],[level premium marked up]]</f>
        <v>41462.088443769106</v>
      </c>
      <c r="AQ129" s="58">
        <f>AP129*Table1[[#This Row],[Unconditional mortality NOW]]</f>
        <v>9.7548229097176251E-7</v>
      </c>
      <c r="AR129" s="60">
        <f>Table1[[#This Row],[cumulative debt until t]]*Table1[[#This Row],[Unconditional mortality NOW]]</f>
        <v>3.6154330880396677E-10</v>
      </c>
      <c r="AS129" s="58">
        <f>Table1[[#This Row],[lender to pay cumulative probablistic undiscounted]]/Table1[[#This Row],[lender discounter]]</f>
        <v>3.5912721042123031E-13</v>
      </c>
    </row>
    <row r="130" spans="1:45" s="3" customFormat="1">
      <c r="A130" s="3">
        <v>134</v>
      </c>
      <c r="B130" s="8">
        <v>3.2000000000000001E-2</v>
      </c>
      <c r="C130" s="3">
        <v>0</v>
      </c>
      <c r="D130" s="8">
        <v>3.2000000000000001E-2</v>
      </c>
      <c r="E130" s="12">
        <v>0.99999999989999999</v>
      </c>
      <c r="F130" s="13">
        <f>1-Table1[[#This Row],[one-year conditional mortality AT ISSUE]]</f>
        <v>1.000000082740371E-10</v>
      </c>
      <c r="G130" s="13">
        <f>PRODUCT(F$17:F130)</f>
        <v>1.1156704295177034E-151</v>
      </c>
      <c r="H130" s="13">
        <f>Table1[[#This Row],[one-year conditional survival AT ISSUE]]*(1-Table1[[#This Row],[Lapse rate]])</f>
        <v>9.6800008009267909E-11</v>
      </c>
      <c r="I130" s="13">
        <f>PRODUCT(H$17:H130)</f>
        <v>1.8584263494713756E-153</v>
      </c>
      <c r="J130" s="13">
        <f>G129*Table1[[#This Row],[one-year conditional mortality AT ISSUE]]</f>
        <v>1.1156703370951588E-141</v>
      </c>
      <c r="K130" s="10">
        <f>I129*Table1[[#This Row],[one-year conditional mortality AT ISSUE]]</f>
        <v>1.9198617722300207E-143</v>
      </c>
      <c r="L130" s="3">
        <f t="shared" si="5"/>
        <v>1.9910109748700498E-3</v>
      </c>
      <c r="M130" s="44">
        <f>Table1[[#This Row],[Death benefit pay probability]]/Table1[[#This Row],[unconditional persistency AT ISSUE]]</f>
        <v>10330577656.607807</v>
      </c>
      <c r="N130" s="44">
        <f>Table1[[#This Row],[one-year conditional mortality AT ISSUE]]/Table1[[#This Row],[one-year conditional persistency AT ISSUE]]</f>
        <v>10330577656.607809</v>
      </c>
      <c r="O130" s="4">
        <f>(1+$B$14)^(Table1[[#This Row],[age since issue]]-$A$17)</f>
        <v>48.781991546141938</v>
      </c>
      <c r="P130" s="5">
        <f>(Table1[[#This Row],[level premium unmarked-up]]*Table1[[#This Row],[unconditional persistency AT ISSUE]]-Table1[[#This Row],[Death benefit pay probability]])</f>
        <v>-1.9198617722296506E-143</v>
      </c>
      <c r="Q130" s="4">
        <f>Table1[[#This Row],[Issuer profit with unmarked-up level premium]]/Table1[[#This Row],[Issuer discounter at issue]]</f>
        <v>-3.9355953116708869E-145</v>
      </c>
      <c r="R130" s="4">
        <f>(Table1[[#This Row],[variable premium unmarked up]]*Table1[[#This Row],[unconditional persistency AT ISSUE]]-Table1[[#This Row],[Death benefit pay probability]])</f>
        <v>-2.2761049594727193E-159</v>
      </c>
      <c r="S130" s="6">
        <f>Table1[[#This Row],[level premium unmarked-up]]*(1+$B$15)</f>
        <v>1.9910109748700498E-3</v>
      </c>
      <c r="T130" s="6">
        <f>MIN(Table1[[#This Row],[variable premium unmarked up]]*(1+$B$15),1)</f>
        <v>1</v>
      </c>
      <c r="U130" s="6">
        <f>Table1[[#This Row],[level premium marked up]]-Table1[[#This Row],[variable premium marked up]]</f>
        <v>-0.99800898902512991</v>
      </c>
      <c r="V130" s="6">
        <f>Table1[[#This Row],[additional cash]]+V129*(1+$D$2)</f>
        <v>-37.090245960853977</v>
      </c>
      <c r="W130" s="12">
        <v>0.5</v>
      </c>
      <c r="X130" s="13">
        <f>1-Table1[[#This Row],[one-year conditional mortality NOW]]</f>
        <v>0.5</v>
      </c>
      <c r="Y130" s="49">
        <f>PRODUCT(X$17:X130)</f>
        <v>1.1763545055077384E-11</v>
      </c>
      <c r="Z130" s="13">
        <f>Table1[[#This Row],[one-year conditional survival NOW]]*(1-Table1[[#This Row],[Lapse rate]])</f>
        <v>0.48399999999999999</v>
      </c>
      <c r="AA130" s="13">
        <f>PRODUCT(Z$17:Z130)</f>
        <v>2.8653954276474867E-13</v>
      </c>
      <c r="AB130" s="50">
        <f>Y129*Table1[[#This Row],[one-year conditional mortality NOW]]</f>
        <v>1.1763545055077384E-11</v>
      </c>
      <c r="AC130" s="14">
        <v>1.9699999999999999E-2</v>
      </c>
      <c r="AD130" s="28">
        <f>(1+Table1[[#This Row],[Yield curve now]])^(Table1[[#This Row],[age since issue]]-$A$23)</f>
        <v>8.0639692938914216</v>
      </c>
      <c r="AE130" s="46">
        <f t="shared" si="4"/>
        <v>16.273986314297531</v>
      </c>
      <c r="AF130" s="42">
        <f>1-Table1[[#This Row],[cumulative debt until t]]</f>
        <v>-15.273986314297531</v>
      </c>
      <c r="AG130" s="46">
        <f>Table1[[#This Row],[cumulative debt until t]]*Table1[[#This Row],[Unconditional mortality NOW]]/Table1[[#This Row],[discouter with yield curve]]</f>
        <v>2.3740141394011789E-11</v>
      </c>
      <c r="AH130" s="48">
        <f>Table1[[#This Row],[Unconditional mortality NOW]]/Table1[[#This Row],[discouter with yield curve]]</f>
        <v>1.4587785030367671E-12</v>
      </c>
      <c r="AI130" s="29">
        <f>Table1[[#This Row],[user profit (death benefit - debt)]]*Table1[[#This Row],[Unconditional mortality NOW]]/Table1[[#This Row],[discouter with yield curve]]</f>
        <v>-2.2281362890975021E-11</v>
      </c>
      <c r="AJ130" s="29">
        <f>(1+$D$4)^(Table1[[#This Row],[age since issue]]-$A$23)</f>
        <v>3123697.1247645952</v>
      </c>
      <c r="AK130" s="57">
        <f>Table1[[#This Row],[level premium marked up]]*Table1[[#This Row],[unconditional survival NOW]]</f>
        <v>2.3421347308037376E-14</v>
      </c>
      <c r="AL130" s="62">
        <f>Table1[[#This Row],[cumulative debt until t]]*Table1[[#This Row],[Unconditional mortality NOW]]</f>
        <v>1.9143977123395174E-10</v>
      </c>
      <c r="AM130" s="47">
        <f>Table1[[#This Row],[probablistic premium stream]]/Table1[[#This Row],[lender discounter]]</f>
        <v>7.4979571874473682E-21</v>
      </c>
      <c r="AN130" s="58">
        <f>Table1[[#This Row],[probablistic repay from borrower]]/Table1[[#This Row],[lender discounter]]</f>
        <v>6.1286278274619474E-17</v>
      </c>
      <c r="AO130" s="47">
        <f>(Table1[[#This Row],[probablistic repay from borrower]]-Table1[[#This Row],[probablistic premium stream]])/Table1[[#This Row],[lender discounter]]</f>
        <v>6.1278780317432037E-17</v>
      </c>
      <c r="AP130" s="46">
        <f>AP129*(1+$D$4)+ Table1[[#This Row],[level premium marked up]]</f>
        <v>47681.403701345444</v>
      </c>
      <c r="AQ130" s="58">
        <f>AP130*Table1[[#This Row],[Unconditional mortality NOW]]</f>
        <v>5.6090234073011065E-7</v>
      </c>
      <c r="AR130" s="60">
        <f>Table1[[#This Row],[cumulative debt until t]]*Table1[[#This Row],[Unconditional mortality NOW]]</f>
        <v>1.9143977123395174E-10</v>
      </c>
      <c r="AS130" s="58">
        <f>Table1[[#This Row],[lender to pay cumulative probablistic undiscounted]]/Table1[[#This Row],[lender discounter]]</f>
        <v>1.7956361270857231E-13</v>
      </c>
    </row>
    <row r="131" spans="1:45" s="3" customFormat="1">
      <c r="A131" s="3">
        <v>135</v>
      </c>
      <c r="B131" s="8">
        <v>3.2000000000000001E-2</v>
      </c>
      <c r="C131" s="3">
        <v>0</v>
      </c>
      <c r="D131" s="8">
        <v>3.2000000000000001E-2</v>
      </c>
      <c r="E131" s="12">
        <v>0.99999999989999999</v>
      </c>
      <c r="F131" s="13">
        <f>1-Table1[[#This Row],[one-year conditional mortality AT ISSUE]]</f>
        <v>1.000000082740371E-10</v>
      </c>
      <c r="G131" s="13">
        <f>PRODUCT(F$17:F131)</f>
        <v>1.1156705218286887E-161</v>
      </c>
      <c r="H131" s="13">
        <f>Table1[[#This Row],[one-year conditional survival AT ISSUE]]*(1-Table1[[#This Row],[Lapse rate]])</f>
        <v>9.6800008009267909E-11</v>
      </c>
      <c r="I131" s="13">
        <f>PRODUCT(H$17:H131)</f>
        <v>1.7989568551346367E-163</v>
      </c>
      <c r="J131" s="13">
        <f>G130*Table1[[#This Row],[one-year conditional mortality AT ISSUE]]</f>
        <v>1.1156704294061364E-151</v>
      </c>
      <c r="K131" s="10">
        <f>I130*Table1[[#This Row],[one-year conditional mortality AT ISSUE]]</f>
        <v>1.858426349285533E-153</v>
      </c>
      <c r="L131" s="3">
        <f t="shared" si="5"/>
        <v>1.9910109748700498E-3</v>
      </c>
      <c r="M131" s="44">
        <f>Table1[[#This Row],[Death benefit pay probability]]/Table1[[#This Row],[unconditional persistency AT ISSUE]]</f>
        <v>10330577656.607809</v>
      </c>
      <c r="N131" s="44">
        <f>Table1[[#This Row],[one-year conditional mortality AT ISSUE]]/Table1[[#This Row],[one-year conditional persistency AT ISSUE]]</f>
        <v>10330577656.607809</v>
      </c>
      <c r="O131" s="4">
        <f>(1+$B$14)^(Table1[[#This Row],[age since issue]]-$A$17)</f>
        <v>50.489361250256906</v>
      </c>
      <c r="P131" s="5">
        <f>(Table1[[#This Row],[level premium unmarked-up]]*Table1[[#This Row],[unconditional persistency AT ISSUE]]-Table1[[#This Row],[Death benefit pay probability]])</f>
        <v>-1.8584263492851748E-153</v>
      </c>
      <c r="Q131" s="4">
        <f>Table1[[#This Row],[Issuer profit with unmarked-up level premium]]/Table1[[#This Row],[Issuer discounter at issue]]</f>
        <v>-3.6808276105408612E-155</v>
      </c>
      <c r="R131" s="4">
        <f>(Table1[[#This Row],[variable premium unmarked up]]*Table1[[#This Row],[unconditional persistency AT ISSUE]]-Table1[[#This Row],[Death benefit pay probability]])</f>
        <v>0</v>
      </c>
      <c r="S131" s="6">
        <f>Table1[[#This Row],[level premium unmarked-up]]*(1+$B$15)</f>
        <v>1.9910109748700498E-3</v>
      </c>
      <c r="T131" s="6">
        <f>MIN(Table1[[#This Row],[variable premium unmarked up]]*(1+$B$15),1)</f>
        <v>1</v>
      </c>
      <c r="U131" s="6">
        <f>Table1[[#This Row],[level premium marked up]]-Table1[[#This Row],[variable premium marked up]]</f>
        <v>-0.99800898902512991</v>
      </c>
      <c r="V131" s="6">
        <f>Table1[[#This Row],[additional cash]]+V130*(1+$D$2)</f>
        <v>-38.125345195839955</v>
      </c>
      <c r="W131" s="12">
        <v>0.5</v>
      </c>
      <c r="X131" s="13">
        <f>1-Table1[[#This Row],[one-year conditional mortality NOW]]</f>
        <v>0.5</v>
      </c>
      <c r="Y131" s="49">
        <f>PRODUCT(X$17:X131)</f>
        <v>5.8817725275386922E-12</v>
      </c>
      <c r="Z131" s="13">
        <f>Table1[[#This Row],[one-year conditional survival NOW]]*(1-Table1[[#This Row],[Lapse rate]])</f>
        <v>0.48399999999999999</v>
      </c>
      <c r="AA131" s="13">
        <f>PRODUCT(Z$17:Z131)</f>
        <v>1.3868513869813836E-13</v>
      </c>
      <c r="AB131" s="50">
        <f>Y130*Table1[[#This Row],[one-year conditional mortality NOW]]</f>
        <v>5.8817725275386922E-12</v>
      </c>
      <c r="AC131" s="14">
        <v>1.9699999999999999E-2</v>
      </c>
      <c r="AD131" s="28">
        <f>(1+Table1[[#This Row],[Yield curve now]])^(Table1[[#This Row],[age since issue]]-$A$23)</f>
        <v>8.222829488981084</v>
      </c>
      <c r="AE131" s="46">
        <f t="shared" si="4"/>
        <v>17.234260185713858</v>
      </c>
      <c r="AF131" s="42">
        <f>1-Table1[[#This Row],[cumulative debt until t]]</f>
        <v>-16.234260185713858</v>
      </c>
      <c r="AG131" s="46">
        <f>Table1[[#This Row],[cumulative debt until t]]*Table1[[#This Row],[Unconditional mortality NOW]]/Table1[[#This Row],[discouter with yield curve]]</f>
        <v>1.232762982968609E-11</v>
      </c>
      <c r="AH131" s="48">
        <f>Table1[[#This Row],[Unconditional mortality NOW]]/Table1[[#This Row],[discouter with yield curve]]</f>
        <v>7.1529788321896974E-13</v>
      </c>
      <c r="AI131" s="29">
        <f>Table1[[#This Row],[user profit (death benefit - debt)]]*Table1[[#This Row],[Unconditional mortality NOW]]/Table1[[#This Row],[discouter with yield curve]]</f>
        <v>-1.1612331946467121E-11</v>
      </c>
      <c r="AJ131" s="29">
        <f>(1+$D$4)^(Table1[[#This Row],[age since issue]]-$A$23)</f>
        <v>3592251.6934792842</v>
      </c>
      <c r="AK131" s="57">
        <f>Table1[[#This Row],[level premium marked up]]*Table1[[#This Row],[unconditional survival NOW]]</f>
        <v>1.1710673654018688E-14</v>
      </c>
      <c r="AL131" s="62">
        <f>Table1[[#This Row],[cumulative debt until t]]*Table1[[#This Row],[Unconditional mortality NOW]]</f>
        <v>1.0136799809278564E-10</v>
      </c>
      <c r="AM131" s="47">
        <f>Table1[[#This Row],[probablistic premium stream]]/Table1[[#This Row],[lender discounter]]</f>
        <v>3.2599813858466823E-21</v>
      </c>
      <c r="AN131" s="58">
        <f>Table1[[#This Row],[probablistic repay from borrower]]/Table1[[#This Row],[lender discounter]]</f>
        <v>2.8218512159599101E-17</v>
      </c>
      <c r="AO131" s="47">
        <f>(Table1[[#This Row],[probablistic repay from borrower]]-Table1[[#This Row],[probablistic premium stream]])/Table1[[#This Row],[lender discounter]]</f>
        <v>2.8215252178213256E-17</v>
      </c>
      <c r="AP131" s="46">
        <f>AP130*(1+$D$4)+ Table1[[#This Row],[level premium marked up]]</f>
        <v>54833.616247558231</v>
      </c>
      <c r="AQ131" s="58">
        <f>AP131*Table1[[#This Row],[Unconditional mortality NOW]]</f>
        <v>3.2251885763048727E-7</v>
      </c>
      <c r="AR131" s="60">
        <f>Table1[[#This Row],[cumulative debt until t]]*Table1[[#This Row],[Unconditional mortality NOW]]</f>
        <v>1.0136799809278564E-10</v>
      </c>
      <c r="AS131" s="58">
        <f>Table1[[#This Row],[lender to pay cumulative probablistic undiscounted]]/Table1[[#This Row],[lender discounter]]</f>
        <v>8.978180961426754E-14</v>
      </c>
    </row>
    <row r="132" spans="1:45" s="3" customFormat="1">
      <c r="A132" s="3">
        <v>136</v>
      </c>
      <c r="B132" s="8">
        <v>3.2000000000000001E-2</v>
      </c>
      <c r="C132" s="3">
        <v>0</v>
      </c>
      <c r="D132" s="8">
        <v>3.2000000000000001E-2</v>
      </c>
      <c r="E132" s="12">
        <v>0.99999999989999999</v>
      </c>
      <c r="F132" s="13">
        <f>1-Table1[[#This Row],[one-year conditional mortality AT ISSUE]]</f>
        <v>1.000000082740371E-10</v>
      </c>
      <c r="G132" s="13">
        <f>PRODUCT(F$17:F132)</f>
        <v>1.1156706141396815E-171</v>
      </c>
      <c r="H132" s="13">
        <f>Table1[[#This Row],[one-year conditional survival AT ISSUE]]*(1-Table1[[#This Row],[Lapse rate]])</f>
        <v>9.6800008009267909E-11</v>
      </c>
      <c r="I132" s="13">
        <f>PRODUCT(H$17:H132)</f>
        <v>1.7413903798536026E-173</v>
      </c>
      <c r="J132" s="13">
        <f>G131*Table1[[#This Row],[one-year conditional mortality AT ISSUE]]</f>
        <v>1.1156705217171215E-161</v>
      </c>
      <c r="K132" s="10">
        <f>I131*Table1[[#This Row],[one-year conditional mortality AT ISSUE]]</f>
        <v>1.7989568549547409E-163</v>
      </c>
      <c r="L132" s="3">
        <f t="shared" si="5"/>
        <v>1.9910109748700498E-3</v>
      </c>
      <c r="M132" s="44">
        <f>Table1[[#This Row],[Death benefit pay probability]]/Table1[[#This Row],[unconditional persistency AT ISSUE]]</f>
        <v>10330577656.607807</v>
      </c>
      <c r="N132" s="44">
        <f>Table1[[#This Row],[one-year conditional mortality AT ISSUE]]/Table1[[#This Row],[one-year conditional persistency AT ISSUE]]</f>
        <v>10330577656.607809</v>
      </c>
      <c r="O132" s="4">
        <f>(1+$B$14)^(Table1[[#This Row],[age since issue]]-$A$17)</f>
        <v>52.256488894015888</v>
      </c>
      <c r="P132" s="5">
        <f>(Table1[[#This Row],[level premium unmarked-up]]*Table1[[#This Row],[unconditional persistency AT ISSUE]]-Table1[[#This Row],[Death benefit pay probability]])</f>
        <v>-1.7989568549543942E-163</v>
      </c>
      <c r="Q132" s="4">
        <f>Table1[[#This Row],[Issuer profit with unmarked-up level premium]]/Table1[[#This Row],[Issuer discounter at issue]]</f>
        <v>-3.4425520983680179E-165</v>
      </c>
      <c r="R132" s="4">
        <f>(Table1[[#This Row],[variable premium unmarked up]]*Table1[[#This Row],[unconditional persistency AT ISSUE]]-Table1[[#This Row],[Death benefit pay probability]])</f>
        <v>0</v>
      </c>
      <c r="S132" s="6">
        <f>Table1[[#This Row],[level premium unmarked-up]]*(1+$B$15)</f>
        <v>1.9910109748700498E-3</v>
      </c>
      <c r="T132" s="6">
        <f>MIN(Table1[[#This Row],[variable premium unmarked up]]*(1+$B$15),1)</f>
        <v>1</v>
      </c>
      <c r="U132" s="6">
        <f>Table1[[#This Row],[level premium marked up]]-Table1[[#This Row],[variable premium marked up]]</f>
        <v>-0.99800898902512991</v>
      </c>
      <c r="V132" s="6">
        <f>Table1[[#This Row],[additional cash]]+V131*(1+$D$2)</f>
        <v>-39.161479530060923</v>
      </c>
      <c r="W132" s="12">
        <v>0.5</v>
      </c>
      <c r="X132" s="13">
        <f>1-Table1[[#This Row],[one-year conditional mortality NOW]]</f>
        <v>0.5</v>
      </c>
      <c r="Y132" s="49">
        <f>PRODUCT(X$17:X132)</f>
        <v>2.9408862637693461E-12</v>
      </c>
      <c r="Z132" s="13">
        <f>Table1[[#This Row],[one-year conditional survival NOW]]*(1-Table1[[#This Row],[Lapse rate]])</f>
        <v>0.48399999999999999</v>
      </c>
      <c r="AA132" s="13">
        <f>PRODUCT(Z$17:Z132)</f>
        <v>6.712360712989897E-14</v>
      </c>
      <c r="AB132" s="50">
        <f>Y131*Table1[[#This Row],[one-year conditional mortality NOW]]</f>
        <v>2.9408862637693461E-12</v>
      </c>
      <c r="AC132" s="14">
        <v>1.9699999999999999E-2</v>
      </c>
      <c r="AD132" s="28">
        <f>(1+Table1[[#This Row],[Yield curve now]])^(Table1[[#This Row],[age since issue]]-$A$23)</f>
        <v>8.3848192299140116</v>
      </c>
      <c r="AE132" s="46">
        <f t="shared" si="4"/>
        <v>18.251072228320627</v>
      </c>
      <c r="AF132" s="42">
        <f>1-Table1[[#This Row],[cumulative debt until t]]</f>
        <v>-17.251072228320627</v>
      </c>
      <c r="AG132" s="46">
        <f>Table1[[#This Row],[cumulative debt until t]]*Table1[[#This Row],[Unconditional mortality NOW]]/Table1[[#This Row],[discouter with yield curve]]</f>
        <v>6.4013696829431545E-12</v>
      </c>
      <c r="AH132" s="48">
        <f>Table1[[#This Row],[Unconditional mortality NOW]]/Table1[[#This Row],[discouter with yield curve]]</f>
        <v>3.5073937590417265E-13</v>
      </c>
      <c r="AI132" s="29">
        <f>Table1[[#This Row],[user profit (death benefit - debt)]]*Table1[[#This Row],[Unconditional mortality NOW]]/Table1[[#This Row],[discouter with yield curve]]</f>
        <v>-6.0506303070389813E-12</v>
      </c>
      <c r="AJ132" s="29">
        <f>(1+$D$4)^(Table1[[#This Row],[age since issue]]-$A$23)</f>
        <v>4131089.4475011765</v>
      </c>
      <c r="AK132" s="57">
        <f>Table1[[#This Row],[level premium marked up]]*Table1[[#This Row],[unconditional survival NOW]]</f>
        <v>5.8553368270093439E-15</v>
      </c>
      <c r="AL132" s="62">
        <f>Table1[[#This Row],[cumulative debt until t]]*Table1[[#This Row],[Unconditional mortality NOW]]</f>
        <v>5.3674327615330323E-11</v>
      </c>
      <c r="AM132" s="47">
        <f>Table1[[#This Row],[probablistic premium stream]]/Table1[[#This Row],[lender discounter]]</f>
        <v>1.4173832112376879E-21</v>
      </c>
      <c r="AN132" s="58">
        <f>Table1[[#This Row],[probablistic repay from borrower]]/Table1[[#This Row],[lender discounter]]</f>
        <v>1.299277788521306E-17</v>
      </c>
      <c r="AO132" s="47">
        <f>(Table1[[#This Row],[probablistic repay from borrower]]-Table1[[#This Row],[probablistic premium stream]])/Table1[[#This Row],[lender discounter]]</f>
        <v>1.2991360502001822E-17</v>
      </c>
      <c r="AP132" s="46">
        <f>AP131*(1+$D$4)+ Table1[[#This Row],[level premium marked up]]</f>
        <v>63058.660675702937</v>
      </c>
      <c r="AQ132" s="58">
        <f>AP132*Table1[[#This Row],[Unconditional mortality NOW]]</f>
        <v>1.8544834899286701E-7</v>
      </c>
      <c r="AR132" s="60">
        <f>Table1[[#This Row],[cumulative debt until t]]*Table1[[#This Row],[Unconditional mortality NOW]]</f>
        <v>5.3674327615330323E-11</v>
      </c>
      <c r="AS132" s="58">
        <f>Table1[[#This Row],[lender to pay cumulative probablistic undiscounted]]/Table1[[#This Row],[lender discounter]]</f>
        <v>4.4890906224516989E-14</v>
      </c>
    </row>
    <row r="133" spans="1:45" s="3" customFormat="1">
      <c r="A133" s="3">
        <v>137</v>
      </c>
      <c r="B133" s="8">
        <v>3.2000000000000001E-2</v>
      </c>
      <c r="C133" s="3">
        <v>0</v>
      </c>
      <c r="D133" s="8">
        <v>3.2000000000000001E-2</v>
      </c>
      <c r="E133" s="12">
        <v>0.99999999989999999</v>
      </c>
      <c r="F133" s="13">
        <f>1-Table1[[#This Row],[one-year conditional mortality AT ISSUE]]</f>
        <v>1.000000082740371E-10</v>
      </c>
      <c r="G133" s="13">
        <f>PRODUCT(F$17:F133)</f>
        <v>1.1156707064506821E-181</v>
      </c>
      <c r="H133" s="13">
        <f>Table1[[#This Row],[one-year conditional survival AT ISSUE]]*(1-Table1[[#This Row],[Lapse rate]])</f>
        <v>9.6800008009267909E-11</v>
      </c>
      <c r="I133" s="13">
        <f>PRODUCT(H$17:H133)</f>
        <v>1.6856660271709082E-183</v>
      </c>
      <c r="J133" s="13">
        <f>G132*Table1[[#This Row],[one-year conditional mortality AT ISSUE]]</f>
        <v>1.1156706140281143E-171</v>
      </c>
      <c r="K133" s="10">
        <f>I132*Table1[[#This Row],[one-year conditional mortality AT ISSUE]]</f>
        <v>1.7413903796794634E-173</v>
      </c>
      <c r="L133" s="3">
        <f t="shared" si="5"/>
        <v>1.9910109748700498E-3</v>
      </c>
      <c r="M133" s="44">
        <f>Table1[[#This Row],[Death benefit pay probability]]/Table1[[#This Row],[unconditional persistency AT ISSUE]]</f>
        <v>10330577656.607807</v>
      </c>
      <c r="N133" s="44">
        <f>Table1[[#This Row],[one-year conditional mortality AT ISSUE]]/Table1[[#This Row],[one-year conditional persistency AT ISSUE]]</f>
        <v>10330577656.607809</v>
      </c>
      <c r="O133" s="4">
        <f>(1+$B$14)^(Table1[[#This Row],[age since issue]]-$A$17)</f>
        <v>54.085466005306444</v>
      </c>
      <c r="P133" s="5">
        <f>(Table1[[#This Row],[level premium unmarked-up]]*Table1[[#This Row],[unconditional persistency AT ISSUE]]-Table1[[#This Row],[Death benefit pay probability]])</f>
        <v>-1.7413903796791277E-173</v>
      </c>
      <c r="Q133" s="4">
        <f>Table1[[#This Row],[Issuer profit with unmarked-up level premium]]/Table1[[#This Row],[Issuer discounter at issue]]</f>
        <v>-3.2197011661289489E-175</v>
      </c>
      <c r="R133" s="4">
        <f>(Table1[[#This Row],[variable premium unmarked up]]*Table1[[#This Row],[unconditional persistency AT ISSUE]]-Table1[[#This Row],[Death benefit pay probability]])</f>
        <v>0</v>
      </c>
      <c r="S133" s="6">
        <f>Table1[[#This Row],[level premium unmarked-up]]*(1+$B$15)</f>
        <v>1.9910109748700498E-3</v>
      </c>
      <c r="T133" s="6">
        <f>MIN(Table1[[#This Row],[variable premium unmarked up]]*(1+$B$15),1)</f>
        <v>1</v>
      </c>
      <c r="U133" s="6">
        <f>Table1[[#This Row],[level premium marked up]]-Table1[[#This Row],[variable premium marked up]]</f>
        <v>-0.99800898902512991</v>
      </c>
      <c r="V133" s="6">
        <f>Table1[[#This Row],[additional cash]]+V132*(1+$D$2)</f>
        <v>-40.198649998616112</v>
      </c>
      <c r="W133" s="12">
        <v>0.5</v>
      </c>
      <c r="X133" s="13">
        <f>1-Table1[[#This Row],[one-year conditional mortality NOW]]</f>
        <v>0.5</v>
      </c>
      <c r="Y133" s="49">
        <f>PRODUCT(X$17:X133)</f>
        <v>1.470443131884673E-12</v>
      </c>
      <c r="Z133" s="13">
        <f>Table1[[#This Row],[one-year conditional survival NOW]]*(1-Table1[[#This Row],[Lapse rate]])</f>
        <v>0.48399999999999999</v>
      </c>
      <c r="AA133" s="13">
        <f>PRODUCT(Z$17:Z133)</f>
        <v>3.2487825850871099E-14</v>
      </c>
      <c r="AB133" s="50">
        <f>Y132*Table1[[#This Row],[one-year conditional mortality NOW]]</f>
        <v>1.470443131884673E-12</v>
      </c>
      <c r="AC133" s="14">
        <v>1.9699999999999999E-2</v>
      </c>
      <c r="AD133" s="28">
        <f>(1+Table1[[#This Row],[Yield curve now]])^(Table1[[#This Row],[age since issue]]-$A$23)</f>
        <v>8.5500001687433187</v>
      </c>
      <c r="AE133" s="46">
        <f t="shared" si="4"/>
        <v>19.327751247468804</v>
      </c>
      <c r="AF133" s="42">
        <f>1-Table1[[#This Row],[cumulative debt until t]]</f>
        <v>-18.327751247468804</v>
      </c>
      <c r="AG133" s="46">
        <f>Table1[[#This Row],[cumulative debt until t]]*Table1[[#This Row],[Unconditional mortality NOW]]/Table1[[#This Row],[discouter with yield curve]]</f>
        <v>3.3240185398491232E-12</v>
      </c>
      <c r="AH133" s="48">
        <f>Table1[[#This Row],[Unconditional mortality NOW]]/Table1[[#This Row],[discouter with yield curve]]</f>
        <v>1.7198164945776827E-13</v>
      </c>
      <c r="AI133" s="29">
        <f>Table1[[#This Row],[user profit (death benefit - debt)]]*Table1[[#This Row],[Unconditional mortality NOW]]/Table1[[#This Row],[discouter with yield curve]]</f>
        <v>-3.1520368903913551E-12</v>
      </c>
      <c r="AJ133" s="29">
        <f>(1+$D$4)^(Table1[[#This Row],[age since issue]]-$A$23)</f>
        <v>4750752.8646263536</v>
      </c>
      <c r="AK133" s="57">
        <f>Table1[[#This Row],[level premium marked up]]*Table1[[#This Row],[unconditional survival NOW]]</f>
        <v>2.9276684135046719E-15</v>
      </c>
      <c r="AL133" s="62">
        <f>Table1[[#This Row],[cumulative debt until t]]*Table1[[#This Row],[Unconditional mortality NOW]]</f>
        <v>2.8420359076615925E-11</v>
      </c>
      <c r="AM133" s="47">
        <f>Table1[[#This Row],[probablistic premium stream]]/Table1[[#This Row],[lender discounter]]</f>
        <v>6.1625357010334252E-22</v>
      </c>
      <c r="AN133" s="58">
        <f>Table1[[#This Row],[probablistic repay from borrower]]/Table1[[#This Row],[lender discounter]]</f>
        <v>5.9822853106570057E-18</v>
      </c>
      <c r="AO133" s="47">
        <f>(Table1[[#This Row],[probablistic repay from borrower]]-Table1[[#This Row],[probablistic premium stream]])/Table1[[#This Row],[lender discounter]]</f>
        <v>5.9816690570869024E-18</v>
      </c>
      <c r="AP133" s="46">
        <f>AP132*(1+$D$4)+ Table1[[#This Row],[level premium marked up]]</f>
        <v>72517.461768069348</v>
      </c>
      <c r="AQ133" s="58">
        <f>AP133*Table1[[#This Row],[Unconditional mortality NOW]]</f>
        <v>1.0663280359856694E-7</v>
      </c>
      <c r="AR133" s="60">
        <f>Table1[[#This Row],[cumulative debt until t]]*Table1[[#This Row],[Unconditional mortality NOW]]</f>
        <v>2.8420359076615925E-11</v>
      </c>
      <c r="AS133" s="58">
        <f>Table1[[#This Row],[lender to pay cumulative probablistic undiscounted]]/Table1[[#This Row],[lender discounter]]</f>
        <v>2.2445453728512058E-14</v>
      </c>
    </row>
    <row r="134" spans="1:45" s="3" customFormat="1">
      <c r="A134" s="3">
        <v>138</v>
      </c>
      <c r="B134" s="8">
        <v>3.2000000000000001E-2</v>
      </c>
      <c r="C134" s="3">
        <v>0</v>
      </c>
      <c r="D134" s="8">
        <v>3.2000000000000001E-2</v>
      </c>
      <c r="E134" s="12">
        <v>0.99999999989999999</v>
      </c>
      <c r="F134" s="13">
        <f>1-Table1[[#This Row],[one-year conditional mortality AT ISSUE]]</f>
        <v>1.000000082740371E-10</v>
      </c>
      <c r="G134" s="13">
        <f>PRODUCT(F$17:F134)</f>
        <v>1.1156707987616903E-191</v>
      </c>
      <c r="H134" s="13">
        <f>Table1[[#This Row],[one-year conditional survival AT ISSUE]]*(1-Table1[[#This Row],[Lapse rate]])</f>
        <v>9.6800008009267909E-11</v>
      </c>
      <c r="I134" s="13">
        <f>PRODUCT(H$17:H134)</f>
        <v>1.6317248493109473E-193</v>
      </c>
      <c r="J134" s="13">
        <f>G133*Table1[[#This Row],[one-year conditional mortality AT ISSUE]]</f>
        <v>1.1156707063391151E-181</v>
      </c>
      <c r="K134" s="10">
        <f>I133*Table1[[#This Row],[one-year conditional mortality AT ISSUE]]</f>
        <v>1.6856660270023416E-183</v>
      </c>
      <c r="L134" s="3">
        <f t="shared" si="5"/>
        <v>1.9910109748700498E-3</v>
      </c>
      <c r="M134" s="44">
        <f>Table1[[#This Row],[Death benefit pay probability]]/Table1[[#This Row],[unconditional persistency AT ISSUE]]</f>
        <v>10330577656.607809</v>
      </c>
      <c r="N134" s="44">
        <f>Table1[[#This Row],[one-year conditional mortality AT ISSUE]]/Table1[[#This Row],[one-year conditional persistency AT ISSUE]]</f>
        <v>10330577656.607809</v>
      </c>
      <c r="O134" s="4">
        <f>(1+$B$14)^(Table1[[#This Row],[age since issue]]-$A$17)</f>
        <v>55.978457315492157</v>
      </c>
      <c r="P134" s="5">
        <f>(Table1[[#This Row],[level premium unmarked-up]]*Table1[[#This Row],[unconditional persistency AT ISSUE]]-Table1[[#This Row],[Death benefit pay probability]])</f>
        <v>-1.6856660270020167E-183</v>
      </c>
      <c r="Q134" s="4">
        <f>Table1[[#This Row],[Issuer profit with unmarked-up level premium]]/Table1[[#This Row],[Issuer discounter at issue]]</f>
        <v>-3.0112763156399184E-185</v>
      </c>
      <c r="R134" s="4">
        <f>(Table1[[#This Row],[variable premium unmarked up]]*Table1[[#This Row],[unconditional persistency AT ISSUE]]-Table1[[#This Row],[Death benefit pay probability]])</f>
        <v>0</v>
      </c>
      <c r="S134" s="6">
        <f>Table1[[#This Row],[level premium unmarked-up]]*(1+$B$15)</f>
        <v>1.9910109748700498E-3</v>
      </c>
      <c r="T134" s="6">
        <f>MIN(Table1[[#This Row],[variable premium unmarked up]]*(1+$B$15),1)</f>
        <v>1</v>
      </c>
      <c r="U134" s="6">
        <f>Table1[[#This Row],[level premium marked up]]-Table1[[#This Row],[variable premium marked up]]</f>
        <v>-0.99800898902512991</v>
      </c>
      <c r="V134" s="6">
        <f>Table1[[#This Row],[additional cash]]+V133*(1+$D$2)</f>
        <v>-41.236857637639858</v>
      </c>
      <c r="W134" s="12">
        <v>0.5</v>
      </c>
      <c r="X134" s="13">
        <f>1-Table1[[#This Row],[one-year conditional mortality NOW]]</f>
        <v>0.5</v>
      </c>
      <c r="Y134" s="49">
        <f>PRODUCT(X$17:X134)</f>
        <v>7.3522156594233652E-13</v>
      </c>
      <c r="Z134" s="13">
        <f>Table1[[#This Row],[one-year conditional survival NOW]]*(1-Table1[[#This Row],[Lapse rate]])</f>
        <v>0.48399999999999999</v>
      </c>
      <c r="AA134" s="13">
        <f>PRODUCT(Z$17:Z134)</f>
        <v>1.5724107711821611E-14</v>
      </c>
      <c r="AB134" s="50">
        <f>Y133*Table1[[#This Row],[one-year conditional mortality NOW]]</f>
        <v>7.3522156594233652E-13</v>
      </c>
      <c r="AC134" s="14">
        <v>1.9699999999999999E-2</v>
      </c>
      <c r="AD134" s="28">
        <f>(1+Table1[[#This Row],[Yield curve now]])^(Table1[[#This Row],[age since issue]]-$A$23)</f>
        <v>8.7184351720675597</v>
      </c>
      <c r="AE134" s="46">
        <f t="shared" si="4"/>
        <v>20.467822039020383</v>
      </c>
      <c r="AF134" s="42">
        <f>1-Table1[[#This Row],[cumulative debt until t]]</f>
        <v>-19.467822039020383</v>
      </c>
      <c r="AG134" s="46">
        <f>Table1[[#This Row],[cumulative debt until t]]*Table1[[#This Row],[Unconditional mortality NOW]]/Table1[[#This Row],[discouter with yield curve]]</f>
        <v>1.7260418726482242E-12</v>
      </c>
      <c r="AH134" s="48">
        <f>Table1[[#This Row],[Unconditional mortality NOW]]/Table1[[#This Row],[discouter with yield curve]]</f>
        <v>8.4329532930160006E-14</v>
      </c>
      <c r="AI134" s="29">
        <f>Table1[[#This Row],[user profit (death benefit - debt)]]*Table1[[#This Row],[Unconditional mortality NOW]]/Table1[[#This Row],[discouter with yield curve]]</f>
        <v>-1.6417123397180642E-12</v>
      </c>
      <c r="AJ134" s="29">
        <f>(1+$D$4)^(Table1[[#This Row],[age since issue]]-$A$23)</f>
        <v>5463365.7943203049</v>
      </c>
      <c r="AK134" s="57">
        <f>Table1[[#This Row],[level premium marked up]]*Table1[[#This Row],[unconditional survival NOW]]</f>
        <v>1.463834206752336E-15</v>
      </c>
      <c r="AL134" s="62">
        <f>Table1[[#This Row],[cumulative debt until t]]*Table1[[#This Row],[Unconditional mortality NOW]]</f>
        <v>1.5048384170957634E-11</v>
      </c>
      <c r="AM134" s="47">
        <f>Table1[[#This Row],[probablistic premium stream]]/Table1[[#This Row],[lender discounter]]</f>
        <v>2.6793633482754031E-22</v>
      </c>
      <c r="AN134" s="58">
        <f>Table1[[#This Row],[probablistic repay from borrower]]/Table1[[#This Row],[lender discounter]]</f>
        <v>2.7544163684961161E-18</v>
      </c>
      <c r="AO134" s="47">
        <f>(Table1[[#This Row],[probablistic repay from borrower]]-Table1[[#This Row],[probablistic premium stream]])/Table1[[#This Row],[lender discounter]]</f>
        <v>2.7541484321612887E-18</v>
      </c>
      <c r="AP134" s="46">
        <f>AP133*(1+$D$4)+ Table1[[#This Row],[level premium marked up]]</f>
        <v>83395.08302429071</v>
      </c>
      <c r="AQ134" s="58">
        <f>AP134*Table1[[#This Row],[Unconditional mortality NOW]]</f>
        <v>6.1313863533010181E-8</v>
      </c>
      <c r="AR134" s="60">
        <f>Table1[[#This Row],[cumulative debt until t]]*Table1[[#This Row],[Unconditional mortality NOW]]</f>
        <v>1.5048384170957634E-11</v>
      </c>
      <c r="AS134" s="58">
        <f>Table1[[#This Row],[lender to pay cumulative probablistic undiscounted]]/Table1[[#This Row],[lender discounter]]</f>
        <v>1.1222727132192366E-14</v>
      </c>
    </row>
    <row r="135" spans="1:45" s="3" customFormat="1">
      <c r="A135" s="3">
        <v>139</v>
      </c>
      <c r="B135" s="8">
        <v>3.2000000000000001E-2</v>
      </c>
      <c r="C135" s="3">
        <v>0</v>
      </c>
      <c r="D135" s="8">
        <v>3.2000000000000001E-2</v>
      </c>
      <c r="E135" s="12">
        <v>0.99999999989999999</v>
      </c>
      <c r="F135" s="13">
        <f>1-Table1[[#This Row],[one-year conditional mortality AT ISSUE]]</f>
        <v>1.000000082740371E-10</v>
      </c>
      <c r="G135" s="13">
        <f>PRODUCT(F$17:F135)</f>
        <v>1.1156708910727061E-201</v>
      </c>
      <c r="H135" s="13">
        <f>Table1[[#This Row],[one-year conditional survival AT ISSUE]]*(1-Table1[[#This Row],[Lapse rate]])</f>
        <v>9.6800008009267909E-11</v>
      </c>
      <c r="I135" s="13">
        <f>PRODUCT(H$17:H135)</f>
        <v>1.5795097848222118E-203</v>
      </c>
      <c r="J135" s="13">
        <f>G134*Table1[[#This Row],[one-year conditional mortality AT ISSUE]]</f>
        <v>1.1156707986501233E-191</v>
      </c>
      <c r="K135" s="10">
        <f>I134*Table1[[#This Row],[one-year conditional mortality AT ISSUE]]</f>
        <v>1.6317248491477749E-193</v>
      </c>
      <c r="L135" s="3">
        <f t="shared" si="5"/>
        <v>1.9910109748700498E-3</v>
      </c>
      <c r="M135" s="44">
        <f>Table1[[#This Row],[Death benefit pay probability]]/Table1[[#This Row],[unconditional persistency AT ISSUE]]</f>
        <v>10330577656.607809</v>
      </c>
      <c r="N135" s="44">
        <f>Table1[[#This Row],[one-year conditional mortality AT ISSUE]]/Table1[[#This Row],[one-year conditional persistency AT ISSUE]]</f>
        <v>10330577656.607809</v>
      </c>
      <c r="O135" s="4">
        <f>(1+$B$14)^(Table1[[#This Row],[age since issue]]-$A$17)</f>
        <v>57.937703321534379</v>
      </c>
      <c r="P135" s="5">
        <f>(Table1[[#This Row],[level premium unmarked-up]]*Table1[[#This Row],[unconditional persistency AT ISSUE]]-Table1[[#This Row],[Death benefit pay probability]])</f>
        <v>-1.6317248491474605E-193</v>
      </c>
      <c r="Q135" s="4">
        <f>Table1[[#This Row],[Issuer profit with unmarked-up level premium]]/Table1[[#This Row],[Issuer discounter at issue]]</f>
        <v>-2.816343685720415E-195</v>
      </c>
      <c r="R135" s="4">
        <f>(Table1[[#This Row],[variable premium unmarked up]]*Table1[[#This Row],[unconditional persistency AT ISSUE]]-Table1[[#This Row],[Death benefit pay probability]])</f>
        <v>0</v>
      </c>
      <c r="S135" s="6">
        <f>Table1[[#This Row],[level premium unmarked-up]]*(1+$B$15)</f>
        <v>1.9910109748700498E-3</v>
      </c>
      <c r="T135" s="6">
        <f>MIN(Table1[[#This Row],[variable premium unmarked up]]*(1+$B$15),1)</f>
        <v>1</v>
      </c>
      <c r="U135" s="6">
        <f>Table1[[#This Row],[level premium marked up]]-Table1[[#This Row],[variable premium marked up]]</f>
        <v>-0.99800898902512991</v>
      </c>
      <c r="V135" s="6">
        <f>Table1[[#This Row],[additional cash]]+V134*(1+$D$2)</f>
        <v>-42.276103484302624</v>
      </c>
      <c r="W135" s="12">
        <v>0.5</v>
      </c>
      <c r="X135" s="13">
        <f>1-Table1[[#This Row],[one-year conditional mortality NOW]]</f>
        <v>0.5</v>
      </c>
      <c r="Y135" s="49">
        <f>PRODUCT(X$17:X135)</f>
        <v>3.6761078297116826E-13</v>
      </c>
      <c r="Z135" s="13">
        <f>Table1[[#This Row],[one-year conditional survival NOW]]*(1-Table1[[#This Row],[Lapse rate]])</f>
        <v>0.48399999999999999</v>
      </c>
      <c r="AA135" s="13">
        <f>PRODUCT(Z$17:Z135)</f>
        <v>7.6104681325216597E-15</v>
      </c>
      <c r="AB135" s="50">
        <f>Y134*Table1[[#This Row],[one-year conditional mortality NOW]]</f>
        <v>3.6761078297116826E-13</v>
      </c>
      <c r="AC135" s="14">
        <v>1.9699999999999999E-2</v>
      </c>
      <c r="AD135" s="28">
        <f>(1+Table1[[#This Row],[Yield curve now]])^(Table1[[#This Row],[age since issue]]-$A$23)</f>
        <v>8.8901883449572932</v>
      </c>
      <c r="AE135" s="46">
        <f t="shared" si="4"/>
        <v>21.675016928707528</v>
      </c>
      <c r="AF135" s="42">
        <f>1-Table1[[#This Row],[cumulative debt until t]]</f>
        <v>-20.675016928707528</v>
      </c>
      <c r="AG135" s="46">
        <f>Table1[[#This Row],[cumulative debt until t]]*Table1[[#This Row],[Unconditional mortality NOW]]/Table1[[#This Row],[discouter with yield curve]]</f>
        <v>8.9626559470982482E-13</v>
      </c>
      <c r="AH135" s="48">
        <f>Table1[[#This Row],[Unconditional mortality NOW]]/Table1[[#This Row],[discouter with yield curve]]</f>
        <v>4.1350168152476214E-14</v>
      </c>
      <c r="AI135" s="29">
        <f>Table1[[#This Row],[user profit (death benefit - debt)]]*Table1[[#This Row],[Unconditional mortality NOW]]/Table1[[#This Row],[discouter with yield curve]]</f>
        <v>-8.5491542655734859E-13</v>
      </c>
      <c r="AJ135" s="29">
        <f>(1+$D$4)^(Table1[[#This Row],[age since issue]]-$A$23)</f>
        <v>6282870.6634683488</v>
      </c>
      <c r="AK135" s="57">
        <f>Table1[[#This Row],[level premium marked up]]*Table1[[#This Row],[unconditional survival NOW]]</f>
        <v>7.3191710337616799E-16</v>
      </c>
      <c r="AL135" s="62">
        <f>Table1[[#This Row],[cumulative debt until t]]*Table1[[#This Row],[Unconditional mortality NOW]]</f>
        <v>7.9679699440755018E-12</v>
      </c>
      <c r="AM135" s="47">
        <f>Table1[[#This Row],[probablistic premium stream]]/Table1[[#This Row],[lender discounter]]</f>
        <v>1.1649405862066974E-22</v>
      </c>
      <c r="AN135" s="58">
        <f>Table1[[#This Row],[probablistic repay from borrower]]/Table1[[#This Row],[lender discounter]]</f>
        <v>1.268205311053932E-18</v>
      </c>
      <c r="AO135" s="47">
        <f>(Table1[[#This Row],[probablistic repay from borrower]]-Table1[[#This Row],[probablistic premium stream]])/Table1[[#This Row],[lender discounter]]</f>
        <v>1.2680888169953113E-18</v>
      </c>
      <c r="AP135" s="46">
        <f>AP134*(1+$D$4)+ Table1[[#This Row],[level premium marked up]]</f>
        <v>95904.347468945285</v>
      </c>
      <c r="AQ135" s="58">
        <f>AP135*Table1[[#This Row],[Unconditional mortality NOW]]</f>
        <v>3.5255472263397956E-8</v>
      </c>
      <c r="AR135" s="60">
        <f>Table1[[#This Row],[cumulative debt until t]]*Table1[[#This Row],[Unconditional mortality NOW]]</f>
        <v>7.9679699440755018E-12</v>
      </c>
      <c r="AS135" s="58">
        <f>Table1[[#This Row],[lender to pay cumulative probablistic undiscounted]]/Table1[[#This Row],[lender discounter]]</f>
        <v>5.6113636825902428E-15</v>
      </c>
    </row>
    <row r="136" spans="1:45" s="3" customFormat="1">
      <c r="A136" s="3">
        <v>140</v>
      </c>
      <c r="B136" s="8">
        <v>3.2000000000000001E-2</v>
      </c>
      <c r="C136" s="3">
        <v>0</v>
      </c>
      <c r="D136" s="8">
        <v>3.2000000000000001E-2</v>
      </c>
      <c r="E136" s="12">
        <v>0.99999999989999999</v>
      </c>
      <c r="F136" s="13">
        <f>1-Table1[[#This Row],[one-year conditional mortality AT ISSUE]]</f>
        <v>1.000000082740371E-10</v>
      </c>
      <c r="G136" s="13">
        <f>PRODUCT(F$17:F136)</f>
        <v>1.1156709833837295E-211</v>
      </c>
      <c r="H136" s="13">
        <f>Table1[[#This Row],[one-year conditional survival AT ISSUE]]*(1-Table1[[#This Row],[Lapse rate]])</f>
        <v>9.6800008009267909E-11</v>
      </c>
      <c r="I136" s="13">
        <f>PRODUCT(H$17:H136)</f>
        <v>1.5289655982150712E-213</v>
      </c>
      <c r="J136" s="13">
        <f>G135*Table1[[#This Row],[one-year conditional mortality AT ISSUE]]</f>
        <v>1.115670890961139E-201</v>
      </c>
      <c r="K136" s="10">
        <f>I135*Table1[[#This Row],[one-year conditional mortality AT ISSUE]]</f>
        <v>1.5795097846642608E-203</v>
      </c>
      <c r="L136" s="3">
        <f t="shared" si="5"/>
        <v>1.9910109748700498E-3</v>
      </c>
      <c r="M136" s="44">
        <f>Table1[[#This Row],[Death benefit pay probability]]/Table1[[#This Row],[unconditional persistency AT ISSUE]]</f>
        <v>10330577656.607809</v>
      </c>
      <c r="N136" s="44">
        <f>Table1[[#This Row],[one-year conditional mortality AT ISSUE]]/Table1[[#This Row],[one-year conditional persistency AT ISSUE]]</f>
        <v>10330577656.607809</v>
      </c>
      <c r="O136" s="4">
        <f>(1+$B$14)^(Table1[[#This Row],[age since issue]]-$A$17)</f>
        <v>59.965522937788087</v>
      </c>
      <c r="P136" s="5">
        <f>(Table1[[#This Row],[level premium unmarked-up]]*Table1[[#This Row],[unconditional persistency AT ISSUE]]-Table1[[#This Row],[Death benefit pay probability]])</f>
        <v>-1.5795097846639562E-203</v>
      </c>
      <c r="Q136" s="4">
        <f>Table1[[#This Row],[Issuer profit with unmarked-up level premium]]/Table1[[#This Row],[Issuer discounter at issue]]</f>
        <v>-2.6340298679670262E-205</v>
      </c>
      <c r="R136" s="4">
        <f>(Table1[[#This Row],[variable premium unmarked up]]*Table1[[#This Row],[unconditional persistency AT ISSUE]]-Table1[[#This Row],[Death benefit pay probability]])</f>
        <v>0</v>
      </c>
      <c r="S136" s="6">
        <f>Table1[[#This Row],[level premium unmarked-up]]*(1+$B$15)</f>
        <v>1.9910109748700498E-3</v>
      </c>
      <c r="T136" s="6">
        <f>MIN(Table1[[#This Row],[variable premium unmarked up]]*(1+$B$15),1)</f>
        <v>1</v>
      </c>
      <c r="U136" s="6">
        <f>Table1[[#This Row],[level premium marked up]]-Table1[[#This Row],[variable premium marked up]]</f>
        <v>-0.99800898902512991</v>
      </c>
      <c r="V136" s="6">
        <f>Table1[[#This Row],[additional cash]]+V135*(1+$D$2)</f>
        <v>-43.316388576812052</v>
      </c>
      <c r="W136" s="12">
        <v>0.5</v>
      </c>
      <c r="X136" s="13">
        <f>1-Table1[[#This Row],[one-year conditional mortality NOW]]</f>
        <v>0.5</v>
      </c>
      <c r="Y136" s="49">
        <f>PRODUCT(X$17:X136)</f>
        <v>1.8380539148558413E-13</v>
      </c>
      <c r="Z136" s="13">
        <f>Table1[[#This Row],[one-year conditional survival NOW]]*(1-Table1[[#This Row],[Lapse rate]])</f>
        <v>0.48399999999999999</v>
      </c>
      <c r="AA136" s="13">
        <f>PRODUCT(Z$17:Z136)</f>
        <v>3.6834665761404835E-15</v>
      </c>
      <c r="AB136" s="50">
        <f>Y135*Table1[[#This Row],[one-year conditional mortality NOW]]</f>
        <v>1.8380539148558413E-13</v>
      </c>
      <c r="AC136" s="14">
        <v>1.9699999999999999E-2</v>
      </c>
      <c r="AD136" s="28">
        <f>(1+Table1[[#This Row],[Yield curve now]])^(Table1[[#This Row],[age since issue]]-$A$23)</f>
        <v>9.0653250553529521</v>
      </c>
      <c r="AE136" s="46">
        <f t="shared" si="4"/>
        <v>22.953287990896058</v>
      </c>
      <c r="AF136" s="42">
        <f>1-Table1[[#This Row],[cumulative debt until t]]</f>
        <v>-21.953287990896058</v>
      </c>
      <c r="AG136" s="46">
        <f>Table1[[#This Row],[cumulative debt until t]]*Table1[[#This Row],[Unconditional mortality NOW]]/Table1[[#This Row],[discouter with yield curve]]</f>
        <v>4.6539291854259342E-13</v>
      </c>
      <c r="AH136" s="48">
        <f>Table1[[#This Row],[Unconditional mortality NOW]]/Table1[[#This Row],[discouter with yield curve]]</f>
        <v>2.0275653698380017E-14</v>
      </c>
      <c r="AI136" s="29">
        <f>Table1[[#This Row],[user profit (death benefit - debt)]]*Table1[[#This Row],[Unconditional mortality NOW]]/Table1[[#This Row],[discouter with yield curve]]</f>
        <v>-4.4511726484421331E-13</v>
      </c>
      <c r="AJ136" s="29">
        <f>(1+$D$4)^(Table1[[#This Row],[age since issue]]-$A$23)</f>
        <v>7225301.2629886018</v>
      </c>
      <c r="AK136" s="57">
        <f>Table1[[#This Row],[level premium marked up]]*Table1[[#This Row],[unconditional survival NOW]]</f>
        <v>3.6595855168808399E-16</v>
      </c>
      <c r="AL136" s="62">
        <f>Table1[[#This Row],[cumulative debt until t]]*Table1[[#This Row],[Unconditional mortality NOW]]</f>
        <v>4.2189380850480072E-12</v>
      </c>
      <c r="AM136" s="47">
        <f>Table1[[#This Row],[probablistic premium stream]]/Table1[[#This Row],[lender discounter]]</f>
        <v>5.0649590704639011E-23</v>
      </c>
      <c r="AN136" s="58">
        <f>Table1[[#This Row],[probablistic repay from borrower]]/Table1[[#This Row],[lender discounter]]</f>
        <v>5.8391171959284197E-19</v>
      </c>
      <c r="AO136" s="47">
        <f>(Table1[[#This Row],[probablistic repay from borrower]]-Table1[[#This Row],[probablistic premium stream]])/Table1[[#This Row],[lender discounter]]</f>
        <v>5.8386107000213728E-19</v>
      </c>
      <c r="AP136" s="46">
        <f>AP135*(1+$D$4)+ Table1[[#This Row],[level premium marked up]]</f>
        <v>110290.00158029803</v>
      </c>
      <c r="AQ136" s="58">
        <f>AP136*Table1[[#This Row],[Unconditional mortality NOW]]</f>
        <v>2.0271896917412373E-8</v>
      </c>
      <c r="AR136" s="60">
        <f>Table1[[#This Row],[cumulative debt until t]]*Table1[[#This Row],[Unconditional mortality NOW]]</f>
        <v>4.2189380850480072E-12</v>
      </c>
      <c r="AS136" s="58">
        <f>Table1[[#This Row],[lender to pay cumulative probablistic undiscounted]]/Table1[[#This Row],[lender discounter]]</f>
        <v>2.8056818919447113E-15</v>
      </c>
    </row>
    <row r="137" spans="1:45" s="3" customFormat="1">
      <c r="A137" s="3">
        <v>141</v>
      </c>
      <c r="B137" s="8">
        <v>3.2000000000000001E-2</v>
      </c>
      <c r="C137" s="3">
        <v>0</v>
      </c>
      <c r="D137" s="8">
        <v>3.2000000000000001E-2</v>
      </c>
      <c r="E137" s="12">
        <v>0.99999999989999999</v>
      </c>
      <c r="F137" s="13">
        <f>1-Table1[[#This Row],[one-year conditional mortality AT ISSUE]]</f>
        <v>1.000000082740371E-10</v>
      </c>
      <c r="G137" s="13">
        <f>PRODUCT(F$17:F137)</f>
        <v>1.1156710756947607E-221</v>
      </c>
      <c r="H137" s="13">
        <f>Table1[[#This Row],[one-year conditional survival AT ISSUE]]*(1-Table1[[#This Row],[Lapse rate]])</f>
        <v>9.6800008009267909E-11</v>
      </c>
      <c r="I137" s="13">
        <f>PRODUCT(H$17:H137)</f>
        <v>1.4800388215311399E-223</v>
      </c>
      <c r="J137" s="13">
        <f>G136*Table1[[#This Row],[one-year conditional mortality AT ISSUE]]</f>
        <v>1.1156709832721624E-211</v>
      </c>
      <c r="K137" s="10">
        <f>I136*Table1[[#This Row],[one-year conditional mortality AT ISSUE]]</f>
        <v>1.5289655980621748E-213</v>
      </c>
      <c r="L137" s="3">
        <f t="shared" si="5"/>
        <v>1.9910109748700498E-3</v>
      </c>
      <c r="M137" s="44">
        <f>Table1[[#This Row],[Death benefit pay probability]]/Table1[[#This Row],[unconditional persistency AT ISSUE]]</f>
        <v>10330577656.607809</v>
      </c>
      <c r="N137" s="44">
        <f>Table1[[#This Row],[one-year conditional mortality AT ISSUE]]/Table1[[#This Row],[one-year conditional persistency AT ISSUE]]</f>
        <v>10330577656.607809</v>
      </c>
      <c r="O137" s="4">
        <f>(1+$B$14)^(Table1[[#This Row],[age since issue]]-$A$17)</f>
        <v>62.064316240610651</v>
      </c>
      <c r="P137" s="5">
        <f>(Table1[[#This Row],[level premium unmarked-up]]*Table1[[#This Row],[unconditional persistency AT ISSUE]]-Table1[[#This Row],[Death benefit pay probability]])</f>
        <v>-1.5289655980618799E-213</v>
      </c>
      <c r="Q137" s="4">
        <f>Table1[[#This Row],[Issuer profit with unmarked-up level premium]]/Table1[[#This Row],[Issuer discounter at issue]]</f>
        <v>-2.463517993389943E-215</v>
      </c>
      <c r="R137" s="4">
        <f>(Table1[[#This Row],[variable premium unmarked up]]*Table1[[#This Row],[unconditional persistency AT ISSUE]]-Table1[[#This Row],[Death benefit pay probability]])</f>
        <v>0</v>
      </c>
      <c r="S137" s="6">
        <f>Table1[[#This Row],[level premium unmarked-up]]*(1+$B$15)</f>
        <v>1.9910109748700498E-3</v>
      </c>
      <c r="T137" s="6">
        <f>MIN(Table1[[#This Row],[variable premium unmarked up]]*(1+$B$15),1)</f>
        <v>1</v>
      </c>
      <c r="U137" s="6">
        <f>Table1[[#This Row],[level premium marked up]]-Table1[[#This Row],[variable premium marked up]]</f>
        <v>-0.99800898902512991</v>
      </c>
      <c r="V137" s="6">
        <f>Table1[[#This Row],[additional cash]]+V136*(1+$D$2)</f>
        <v>-44.357713954413988</v>
      </c>
      <c r="W137" s="12">
        <v>0.5</v>
      </c>
      <c r="X137" s="13">
        <f>1-Table1[[#This Row],[one-year conditional mortality NOW]]</f>
        <v>0.5</v>
      </c>
      <c r="Y137" s="49">
        <f>PRODUCT(X$17:X137)</f>
        <v>9.1902695742792065E-14</v>
      </c>
      <c r="Z137" s="13">
        <f>Table1[[#This Row],[one-year conditional survival NOW]]*(1-Table1[[#This Row],[Lapse rate]])</f>
        <v>0.48399999999999999</v>
      </c>
      <c r="AA137" s="13">
        <f>PRODUCT(Z$17:Z137)</f>
        <v>1.7827978228519942E-15</v>
      </c>
      <c r="AB137" s="50">
        <f>Y136*Table1[[#This Row],[one-year conditional mortality NOW]]</f>
        <v>9.1902695742792065E-14</v>
      </c>
      <c r="AC137" s="14">
        <v>1.9699999999999999E-2</v>
      </c>
      <c r="AD137" s="28">
        <f>(1+Table1[[#This Row],[Yield curve now]])^(Table1[[#This Row],[age since issue]]-$A$23)</f>
        <v>9.2439119589434053</v>
      </c>
      <c r="AE137" s="46">
        <f t="shared" si="4"/>
        <v>24.3068199867547</v>
      </c>
      <c r="AF137" s="42">
        <f>1-Table1[[#This Row],[cumulative debt until t]]</f>
        <v>-23.3068199867547</v>
      </c>
      <c r="AG137" s="46">
        <f>Table1[[#This Row],[cumulative debt until t]]*Table1[[#This Row],[Unconditional mortality NOW]]/Table1[[#This Row],[discouter with yield curve]]</f>
        <v>2.41657676061734E-13</v>
      </c>
      <c r="AH137" s="48">
        <f>Table1[[#This Row],[Unconditional mortality NOW]]/Table1[[#This Row],[discouter with yield curve]]</f>
        <v>9.9419700394135625E-15</v>
      </c>
      <c r="AI137" s="29">
        <f>Table1[[#This Row],[user profit (death benefit - debt)]]*Table1[[#This Row],[Unconditional mortality NOW]]/Table1[[#This Row],[discouter with yield curve]]</f>
        <v>-2.317157060223204E-13</v>
      </c>
      <c r="AJ137" s="29">
        <f>(1+$D$4)^(Table1[[#This Row],[age since issue]]-$A$23)</f>
        <v>8309096.4524368905</v>
      </c>
      <c r="AK137" s="57">
        <f>Table1[[#This Row],[level premium marked up]]*Table1[[#This Row],[unconditional survival NOW]]</f>
        <v>1.82979275844042E-16</v>
      </c>
      <c r="AL137" s="62">
        <f>Table1[[#This Row],[cumulative debt until t]]*Table1[[#This Row],[Unconditional mortality NOW]]</f>
        <v>2.2338622817175342E-12</v>
      </c>
      <c r="AM137" s="47">
        <f>Table1[[#This Row],[probablistic premium stream]]/Table1[[#This Row],[lender discounter]]</f>
        <v>2.2021561175930008E-23</v>
      </c>
      <c r="AN137" s="58">
        <f>Table1[[#This Row],[probablistic repay from borrower]]/Table1[[#This Row],[lender discounter]]</f>
        <v>2.6884539065163786E-19</v>
      </c>
      <c r="AO137" s="47">
        <f>(Table1[[#This Row],[probablistic repay from borrower]]-Table1[[#This Row],[probablistic premium stream]])/Table1[[#This Row],[lender discounter]]</f>
        <v>2.6882336909046194E-19</v>
      </c>
      <c r="AP137" s="46">
        <f>AP136*(1+$D$4)+ Table1[[#This Row],[level premium marked up]]</f>
        <v>126833.50380835369</v>
      </c>
      <c r="AQ137" s="58">
        <f>AP137*Table1[[#This Row],[Unconditional mortality NOW]]</f>
        <v>1.1656340910491388E-8</v>
      </c>
      <c r="AR137" s="60">
        <f>Table1[[#This Row],[cumulative debt until t]]*Table1[[#This Row],[Unconditional mortality NOW]]</f>
        <v>2.2338622817175342E-12</v>
      </c>
      <c r="AS137" s="58">
        <f>Table1[[#This Row],[lender to pay cumulative probablistic undiscounted]]/Table1[[#This Row],[lender discounter]]</f>
        <v>1.4028409679939168E-15</v>
      </c>
    </row>
    <row r="138" spans="1:45" s="3" customFormat="1">
      <c r="A138" s="3">
        <v>142</v>
      </c>
      <c r="B138" s="8">
        <v>3.2000000000000001E-2</v>
      </c>
      <c r="C138" s="3">
        <v>0</v>
      </c>
      <c r="D138" s="8">
        <v>3.2000000000000001E-2</v>
      </c>
      <c r="E138" s="12">
        <v>0.99999999989999999</v>
      </c>
      <c r="F138" s="13">
        <f>1-Table1[[#This Row],[one-year conditional mortality AT ISSUE]]</f>
        <v>1.000000082740371E-10</v>
      </c>
      <c r="G138" s="13">
        <f>PRODUCT(F$17:F138)</f>
        <v>1.1156711680057993E-231</v>
      </c>
      <c r="H138" s="13">
        <f>Table1[[#This Row],[one-year conditional survival AT ISSUE]]*(1-Table1[[#This Row],[Lapse rate]])</f>
        <v>9.6800008009267909E-11</v>
      </c>
      <c r="I138" s="13">
        <f>PRODUCT(H$17:H138)</f>
        <v>1.4326776977824177E-233</v>
      </c>
      <c r="J138" s="13">
        <f>G137*Table1[[#This Row],[one-year conditional mortality AT ISSUE]]</f>
        <v>1.1156710755831934E-221</v>
      </c>
      <c r="K138" s="10">
        <f>I137*Table1[[#This Row],[one-year conditional mortality AT ISSUE]]</f>
        <v>1.4800388213831361E-223</v>
      </c>
      <c r="L138" s="3">
        <f t="shared" si="5"/>
        <v>1.9910109748700498E-3</v>
      </c>
      <c r="M138" s="44">
        <f>Table1[[#This Row],[Death benefit pay probability]]/Table1[[#This Row],[unconditional persistency AT ISSUE]]</f>
        <v>10330577656.607809</v>
      </c>
      <c r="N138" s="44">
        <f>Table1[[#This Row],[one-year conditional mortality AT ISSUE]]/Table1[[#This Row],[one-year conditional persistency AT ISSUE]]</f>
        <v>10330577656.607809</v>
      </c>
      <c r="O138" s="4">
        <f>(1+$B$14)^(Table1[[#This Row],[age since issue]]-$A$17)</f>
        <v>64.236567309032026</v>
      </c>
      <c r="P138" s="5">
        <f>(Table1[[#This Row],[level premium unmarked-up]]*Table1[[#This Row],[unconditional persistency AT ISSUE]]-Table1[[#This Row],[Death benefit pay probability]])</f>
        <v>-1.4800388213828509E-223</v>
      </c>
      <c r="Q138" s="4">
        <f>Table1[[#This Row],[Issuer profit with unmarked-up level premium]]/Table1[[#This Row],[Issuer discounter at issue]]</f>
        <v>-2.3040440723779911E-225</v>
      </c>
      <c r="R138" s="4">
        <f>(Table1[[#This Row],[variable premium unmarked up]]*Table1[[#This Row],[unconditional persistency AT ISSUE]]-Table1[[#This Row],[Death benefit pay probability]])</f>
        <v>-1.9196119217864076E-239</v>
      </c>
      <c r="S138" s="6">
        <f>Table1[[#This Row],[level premium unmarked-up]]*(1+$B$15)</f>
        <v>1.9910109748700498E-3</v>
      </c>
      <c r="T138" s="6">
        <f>MIN(Table1[[#This Row],[variable premium unmarked up]]*(1+$B$15),1)</f>
        <v>1</v>
      </c>
      <c r="U138" s="6">
        <f>Table1[[#This Row],[level premium marked up]]-Table1[[#This Row],[variable premium marked up]]</f>
        <v>-0.99800898902512991</v>
      </c>
      <c r="V138" s="6">
        <f>Table1[[#This Row],[additional cash]]+V137*(1+$D$2)</f>
        <v>-45.400080657393531</v>
      </c>
      <c r="W138" s="12">
        <v>0.5</v>
      </c>
      <c r="X138" s="13">
        <f>1-Table1[[#This Row],[one-year conditional mortality NOW]]</f>
        <v>0.5</v>
      </c>
      <c r="Y138" s="49">
        <f>PRODUCT(X$17:X138)</f>
        <v>4.5951347871396032E-14</v>
      </c>
      <c r="Z138" s="13">
        <f>Table1[[#This Row],[one-year conditional survival NOW]]*(1-Table1[[#This Row],[Lapse rate]])</f>
        <v>0.48399999999999999</v>
      </c>
      <c r="AA138" s="13">
        <f>PRODUCT(Z$17:Z138)</f>
        <v>8.6287414626036514E-16</v>
      </c>
      <c r="AB138" s="50">
        <f>Y137*Table1[[#This Row],[one-year conditional mortality NOW]]</f>
        <v>4.5951347871396032E-14</v>
      </c>
      <c r="AC138" s="14">
        <v>1.9699999999999999E-2</v>
      </c>
      <c r="AD138" s="28">
        <f>(1+Table1[[#This Row],[Yield curve now]])^(Table1[[#This Row],[age since issue]]-$A$23)</f>
        <v>9.4260170245345893</v>
      </c>
      <c r="AE138" s="46">
        <f t="shared" si="4"/>
        <v>25.74004406418662</v>
      </c>
      <c r="AF138" s="42">
        <f>1-Table1[[#This Row],[cumulative debt until t]]</f>
        <v>-24.74004406418662</v>
      </c>
      <c r="AG138" s="46">
        <f>Table1[[#This Row],[cumulative debt until t]]*Table1[[#This Row],[Unconditional mortality NOW]]/Table1[[#This Row],[discouter with yield curve]]</f>
        <v>1.2548139006537625E-13</v>
      </c>
      <c r="AH138" s="48">
        <f>Table1[[#This Row],[Unconditional mortality NOW]]/Table1[[#This Row],[discouter with yield curve]]</f>
        <v>4.874948533594961E-15</v>
      </c>
      <c r="AI138" s="29">
        <f>Table1[[#This Row],[user profit (death benefit - debt)]]*Table1[[#This Row],[Unconditional mortality NOW]]/Table1[[#This Row],[discouter with yield curve]]</f>
        <v>-1.2060644153178129E-13</v>
      </c>
      <c r="AJ138" s="29">
        <f>(1+$D$4)^(Table1[[#This Row],[age since issue]]-$A$23)</f>
        <v>9555460.9203024246</v>
      </c>
      <c r="AK138" s="57">
        <f>Table1[[#This Row],[level premium marked up]]*Table1[[#This Row],[unconditional survival NOW]]</f>
        <v>9.1489637922020998E-17</v>
      </c>
      <c r="AL138" s="62">
        <f>Table1[[#This Row],[cumulative debt until t]]*Table1[[#This Row],[Unconditional mortality NOW]]</f>
        <v>1.182789719018502E-12</v>
      </c>
      <c r="AM138" s="47">
        <f>Table1[[#This Row],[probablistic premium stream]]/Table1[[#This Row],[lender discounter]]</f>
        <v>9.574591815621742E-24</v>
      </c>
      <c r="AN138" s="58">
        <f>Table1[[#This Row],[probablistic repay from borrower]]/Table1[[#This Row],[lender discounter]]</f>
        <v>1.2378154532613247E-19</v>
      </c>
      <c r="AO138" s="47">
        <f>(Table1[[#This Row],[probablistic repay from borrower]]-Table1[[#This Row],[probablistic premium stream]])/Table1[[#This Row],[lender discounter]]</f>
        <v>1.2377197073431683E-19</v>
      </c>
      <c r="AP138" s="46">
        <f>AP137*(1+$D$4)+ Table1[[#This Row],[level premium marked up]]</f>
        <v>145858.53137061771</v>
      </c>
      <c r="AQ138" s="58">
        <f>AP138*Table1[[#This Row],[Unconditional mortality NOW]]</f>
        <v>6.7023961150221855E-9</v>
      </c>
      <c r="AR138" s="60">
        <f>Table1[[#This Row],[cumulative debt until t]]*Table1[[#This Row],[Unconditional mortality NOW]]</f>
        <v>1.182789719018502E-12</v>
      </c>
      <c r="AS138" s="58">
        <f>Table1[[#This Row],[lender to pay cumulative probablistic undiscounted]]/Table1[[#This Row],[lender discounter]]</f>
        <v>7.0142049357155017E-16</v>
      </c>
    </row>
    <row r="139" spans="1:45" s="3" customFormat="1">
      <c r="A139" s="3">
        <v>143</v>
      </c>
      <c r="B139" s="8">
        <v>3.2000000000000001E-2</v>
      </c>
      <c r="C139" s="3">
        <v>0</v>
      </c>
      <c r="D139" s="8">
        <v>3.2000000000000001E-2</v>
      </c>
      <c r="E139" s="12">
        <v>0.99999999989999999</v>
      </c>
      <c r="F139" s="13">
        <f>1-Table1[[#This Row],[one-year conditional mortality AT ISSUE]]</f>
        <v>1.000000082740371E-10</v>
      </c>
      <c r="G139" s="13">
        <f>PRODUCT(F$17:F139)</f>
        <v>1.1156712603168457E-241</v>
      </c>
      <c r="H139" s="13">
        <f>Table1[[#This Row],[one-year conditional survival AT ISSUE]]*(1-Table1[[#This Row],[Lapse rate]])</f>
        <v>9.6800008009267909E-11</v>
      </c>
      <c r="I139" s="13">
        <f>PRODUCT(H$17:H139)</f>
        <v>1.3868321262003754E-243</v>
      </c>
      <c r="J139" s="13">
        <f>G138*Table1[[#This Row],[one-year conditional mortality AT ISSUE]]</f>
        <v>1.1156711678942323E-231</v>
      </c>
      <c r="K139" s="10">
        <f>I138*Table1[[#This Row],[one-year conditional mortality AT ISSUE]]</f>
        <v>1.4326776976391499E-233</v>
      </c>
      <c r="L139" s="3">
        <f t="shared" si="5"/>
        <v>1.9910109748700498E-3</v>
      </c>
      <c r="M139" s="44">
        <f>Table1[[#This Row],[Death benefit pay probability]]/Table1[[#This Row],[unconditional persistency AT ISSUE]]</f>
        <v>10330577656.607809</v>
      </c>
      <c r="N139" s="44">
        <f>Table1[[#This Row],[one-year conditional mortality AT ISSUE]]/Table1[[#This Row],[one-year conditional persistency AT ISSUE]]</f>
        <v>10330577656.607809</v>
      </c>
      <c r="O139" s="4">
        <f>(1+$B$14)^(Table1[[#This Row],[age since issue]]-$A$17)</f>
        <v>66.484847164848148</v>
      </c>
      <c r="P139" s="5">
        <f>(Table1[[#This Row],[level premium unmarked-up]]*Table1[[#This Row],[unconditional persistency AT ISSUE]]-Table1[[#This Row],[Death benefit pay probability]])</f>
        <v>-1.4326776976388737E-233</v>
      </c>
      <c r="Q139" s="4">
        <f>Table1[[#This Row],[Issuer profit with unmarked-up level premium]]/Table1[[#This Row],[Issuer discounter at issue]]</f>
        <v>-2.1548935715931955E-235</v>
      </c>
      <c r="R139" s="4">
        <f>(Table1[[#This Row],[variable premium unmarked up]]*Table1[[#This Row],[unconditional persistency AT ISSUE]]-Table1[[#This Row],[Death benefit pay probability]])</f>
        <v>0</v>
      </c>
      <c r="S139" s="6">
        <f>Table1[[#This Row],[level premium unmarked-up]]*(1+$B$15)</f>
        <v>1.9910109748700498E-3</v>
      </c>
      <c r="T139" s="6">
        <f>MIN(Table1[[#This Row],[variable premium unmarked up]]*(1+$B$15),1)</f>
        <v>1</v>
      </c>
      <c r="U139" s="6">
        <f>Table1[[#This Row],[level premium marked up]]-Table1[[#This Row],[variable premium marked up]]</f>
        <v>-0.99800898902512991</v>
      </c>
      <c r="V139" s="6">
        <f>Table1[[#This Row],[additional cash]]+V138*(1+$D$2)</f>
        <v>-46.443489727076049</v>
      </c>
      <c r="W139" s="12">
        <v>0.5</v>
      </c>
      <c r="X139" s="13">
        <f>1-Table1[[#This Row],[one-year conditional mortality NOW]]</f>
        <v>0.5</v>
      </c>
      <c r="Y139" s="49">
        <f>PRODUCT(X$17:X139)</f>
        <v>2.2975673935698016E-14</v>
      </c>
      <c r="Z139" s="13">
        <f>Table1[[#This Row],[one-year conditional survival NOW]]*(1-Table1[[#This Row],[Lapse rate]])</f>
        <v>0.48399999999999999</v>
      </c>
      <c r="AA139" s="13">
        <f>PRODUCT(Z$17:Z139)</f>
        <v>4.176310867900167E-16</v>
      </c>
      <c r="AB139" s="50">
        <f>Y138*Table1[[#This Row],[one-year conditional mortality NOW]]</f>
        <v>2.2975673935698016E-14</v>
      </c>
      <c r="AC139" s="14">
        <v>1.9699999999999999E-2</v>
      </c>
      <c r="AD139" s="28">
        <f>(1+Table1[[#This Row],[Yield curve now]])^(Table1[[#This Row],[age since issue]]-$A$23)</f>
        <v>9.611709559917923</v>
      </c>
      <c r="AE139" s="46">
        <f t="shared" si="4"/>
        <v>27.257652264373643</v>
      </c>
      <c r="AF139" s="42">
        <f>1-Table1[[#This Row],[cumulative debt until t]]</f>
        <v>-26.257652264373643</v>
      </c>
      <c r="AG139" s="46">
        <f>Table1[[#This Row],[cumulative debt until t]]*Table1[[#This Row],[Unconditional mortality NOW]]/Table1[[#This Row],[discouter with yield curve]]</f>
        <v>6.5156247884402094E-14</v>
      </c>
      <c r="AH139" s="48">
        <f>Table1[[#This Row],[Unconditional mortality NOW]]/Table1[[#This Row],[discouter with yield curve]]</f>
        <v>2.3903837077547119E-15</v>
      </c>
      <c r="AI139" s="29">
        <f>Table1[[#This Row],[user profit (death benefit - debt)]]*Table1[[#This Row],[Unconditional mortality NOW]]/Table1[[#This Row],[discouter with yield curve]]</f>
        <v>-6.276586417664737E-14</v>
      </c>
      <c r="AJ139" s="29">
        <f>(1+$D$4)^(Table1[[#This Row],[age since issue]]-$A$23)</f>
        <v>10988780.058347786</v>
      </c>
      <c r="AK139" s="57">
        <f>Table1[[#This Row],[level premium marked up]]*Table1[[#This Row],[unconditional survival NOW]]</f>
        <v>4.5744818961010499E-17</v>
      </c>
      <c r="AL139" s="62">
        <f>Table1[[#This Row],[cumulative debt until t]]*Table1[[#This Row],[Unconditional mortality NOW]]</f>
        <v>6.2626293067888952E-13</v>
      </c>
      <c r="AM139" s="47">
        <f>Table1[[#This Row],[probablistic premium stream]]/Table1[[#This Row],[lender discounter]]</f>
        <v>4.1628660067920632E-24</v>
      </c>
      <c r="AN139" s="58">
        <f>Table1[[#This Row],[probablistic repay from borrower]]/Table1[[#This Row],[lender discounter]]</f>
        <v>5.6991124342609791E-20</v>
      </c>
      <c r="AO139" s="47">
        <f>(Table1[[#This Row],[probablistic repay from borrower]]-Table1[[#This Row],[probablistic premium stream]])/Table1[[#This Row],[lender discounter]]</f>
        <v>5.6986961476602988E-20</v>
      </c>
      <c r="AP139" s="46">
        <f>AP138*(1+$D$4)+ Table1[[#This Row],[level premium marked up]]</f>
        <v>167737.31306722132</v>
      </c>
      <c r="AQ139" s="58">
        <f>AP139*Table1[[#This Row],[Unconditional mortality NOW]]</f>
        <v>3.8538778118825753E-9</v>
      </c>
      <c r="AR139" s="60">
        <f>Table1[[#This Row],[cumulative debt until t]]*Table1[[#This Row],[Unconditional mortality NOW]]</f>
        <v>6.2626293067888952E-13</v>
      </c>
      <c r="AS139" s="58">
        <f>Table1[[#This Row],[lender to pay cumulative probablistic undiscounted]]/Table1[[#This Row],[lender discounter]]</f>
        <v>3.5071025094864112E-16</v>
      </c>
    </row>
    <row r="140" spans="1:45" s="3" customFormat="1">
      <c r="A140" s="3">
        <v>144</v>
      </c>
      <c r="B140" s="8">
        <v>3.2000000000000001E-2</v>
      </c>
      <c r="C140" s="3">
        <v>0</v>
      </c>
      <c r="D140" s="8">
        <v>3.2000000000000001E-2</v>
      </c>
      <c r="E140" s="12">
        <v>0.99999999989999999</v>
      </c>
      <c r="F140" s="13">
        <f>1-Table1[[#This Row],[one-year conditional mortality AT ISSUE]]</f>
        <v>1.000000082740371E-10</v>
      </c>
      <c r="G140" s="13">
        <f>PRODUCT(F$17:F140)</f>
        <v>1.1156713526278997E-251</v>
      </c>
      <c r="H140" s="13">
        <f>Table1[[#This Row],[one-year conditional survival AT ISSUE]]*(1-Table1[[#This Row],[Lapse rate]])</f>
        <v>9.6800008009267909E-11</v>
      </c>
      <c r="I140" s="13">
        <f>PRODUCT(H$17:H140)</f>
        <v>1.3424536092370639E-253</v>
      </c>
      <c r="J140" s="13">
        <f>G139*Table1[[#This Row],[one-year conditional mortality AT ISSUE]]</f>
        <v>1.1156712602052785E-241</v>
      </c>
      <c r="K140" s="10">
        <f>I139*Table1[[#This Row],[one-year conditional mortality AT ISSUE]]</f>
        <v>1.3868321260616923E-243</v>
      </c>
      <c r="L140" s="3">
        <f t="shared" si="5"/>
        <v>1.9910109748700498E-3</v>
      </c>
      <c r="M140" s="44">
        <f>Table1[[#This Row],[Death benefit pay probability]]/Table1[[#This Row],[unconditional persistency AT ISSUE]]</f>
        <v>10330577656.607809</v>
      </c>
      <c r="N140" s="44">
        <f>Table1[[#This Row],[one-year conditional mortality AT ISSUE]]/Table1[[#This Row],[one-year conditional persistency AT ISSUE]]</f>
        <v>10330577656.607809</v>
      </c>
      <c r="O140" s="4">
        <f>(1+$B$14)^(Table1[[#This Row],[age since issue]]-$A$17)</f>
        <v>68.811816815617831</v>
      </c>
      <c r="P140" s="5">
        <f>(Table1[[#This Row],[level premium unmarked-up]]*Table1[[#This Row],[unconditional persistency AT ISSUE]]-Table1[[#This Row],[Death benefit pay probability]])</f>
        <v>-1.3868321260614251E-243</v>
      </c>
      <c r="Q140" s="4">
        <f>Table1[[#This Row],[Issuer profit with unmarked-up level premium]]/Table1[[#This Row],[Issuer discounter at issue]]</f>
        <v>-2.0153982124574039E-245</v>
      </c>
      <c r="R140" s="4">
        <f>(Table1[[#This Row],[variable premium unmarked up]]*Table1[[#This Row],[unconditional persistency AT ISSUE]]-Table1[[#This Row],[Death benefit pay probability]])</f>
        <v>0</v>
      </c>
      <c r="S140" s="6">
        <f>Table1[[#This Row],[level premium unmarked-up]]*(1+$B$15)</f>
        <v>1.9910109748700498E-3</v>
      </c>
      <c r="T140" s="6">
        <f>MIN(Table1[[#This Row],[variable premium unmarked up]]*(1+$B$15),1)</f>
        <v>1</v>
      </c>
      <c r="U140" s="6">
        <f>Table1[[#This Row],[level premium marked up]]-Table1[[#This Row],[variable premium marked up]]</f>
        <v>-0.99800898902512991</v>
      </c>
      <c r="V140" s="6">
        <f>Table1[[#This Row],[additional cash]]+V139*(1+$D$2)</f>
        <v>-47.487942205828247</v>
      </c>
      <c r="W140" s="12">
        <v>0.5</v>
      </c>
      <c r="X140" s="13">
        <f>1-Table1[[#This Row],[one-year conditional mortality NOW]]</f>
        <v>0.5</v>
      </c>
      <c r="Y140" s="49">
        <f>PRODUCT(X$17:X140)</f>
        <v>1.1487836967849008E-14</v>
      </c>
      <c r="Z140" s="13">
        <f>Table1[[#This Row],[one-year conditional survival NOW]]*(1-Table1[[#This Row],[Lapse rate]])</f>
        <v>0.48399999999999999</v>
      </c>
      <c r="AA140" s="13">
        <f>PRODUCT(Z$17:Z140)</f>
        <v>2.0213344600636809E-16</v>
      </c>
      <c r="AB140" s="50">
        <f>Y139*Table1[[#This Row],[one-year conditional mortality NOW]]</f>
        <v>1.1487836967849008E-14</v>
      </c>
      <c r="AC140" s="14">
        <v>1.9699999999999999E-2</v>
      </c>
      <c r="AD140" s="28">
        <f>(1+Table1[[#This Row],[Yield curve now]])^(Table1[[#This Row],[age since issue]]-$A$23)</f>
        <v>9.8010602382483061</v>
      </c>
      <c r="AE140" s="46">
        <f t="shared" si="4"/>
        <v>28.864612882424169</v>
      </c>
      <c r="AF140" s="42">
        <f>1-Table1[[#This Row],[cumulative debt until t]]</f>
        <v>-27.864612882424169</v>
      </c>
      <c r="AG140" s="46">
        <f>Table1[[#This Row],[cumulative debt until t]]*Table1[[#This Row],[Unconditional mortality NOW]]/Table1[[#This Row],[discouter with yield curve]]</f>
        <v>3.3832254763554725E-14</v>
      </c>
      <c r="AH140" s="48">
        <f>Table1[[#This Row],[Unconditional mortality NOW]]/Table1[[#This Row],[discouter with yield curve]]</f>
        <v>1.1721014552097244E-15</v>
      </c>
      <c r="AI140" s="29">
        <f>Table1[[#This Row],[user profit (death benefit - debt)]]*Table1[[#This Row],[Unconditional mortality NOW]]/Table1[[#This Row],[discouter with yield curve]]</f>
        <v>-3.2660153308344997E-14</v>
      </c>
      <c r="AJ140" s="29">
        <f>(1+$D$4)^(Table1[[#This Row],[age since issue]]-$A$23)</f>
        <v>12637097.067099953</v>
      </c>
      <c r="AK140" s="57">
        <f>Table1[[#This Row],[level premium marked up]]*Table1[[#This Row],[unconditional survival NOW]]</f>
        <v>2.287240948050525E-17</v>
      </c>
      <c r="AL140" s="62">
        <f>Table1[[#This Row],[cumulative debt until t]]*Table1[[#This Row],[Unconditional mortality NOW]]</f>
        <v>3.3159196693336307E-13</v>
      </c>
      <c r="AM140" s="47">
        <f>Table1[[#This Row],[probablistic premium stream]]/Table1[[#This Row],[lender discounter]]</f>
        <v>1.8099417420835055E-24</v>
      </c>
      <c r="AN140" s="58">
        <f>Table1[[#This Row],[probablistic repay from borrower]]/Table1[[#This Row],[lender discounter]]</f>
        <v>2.6239567930252437E-20</v>
      </c>
      <c r="AO140" s="47">
        <f>(Table1[[#This Row],[probablistic repay from borrower]]-Table1[[#This Row],[probablistic premium stream]])/Table1[[#This Row],[lender discounter]]</f>
        <v>2.6237757988510354E-20</v>
      </c>
      <c r="AP140" s="46">
        <f>AP139*(1+$D$4)+ Table1[[#This Row],[level premium marked up]]</f>
        <v>192897.91201831546</v>
      </c>
      <c r="AQ140" s="58">
        <f>AP140*Table1[[#This Row],[Unconditional mortality NOW]]</f>
        <v>2.2159797647048898E-9</v>
      </c>
      <c r="AR140" s="60">
        <f>Table1[[#This Row],[cumulative debt until t]]*Table1[[#This Row],[Unconditional mortality NOW]]</f>
        <v>3.3159196693336307E-13</v>
      </c>
      <c r="AS140" s="58">
        <f>Table1[[#This Row],[lender to pay cumulative probablistic undiscounted]]/Table1[[#This Row],[lender discounter]]</f>
        <v>1.7535512728426229E-16</v>
      </c>
    </row>
    <row r="141" spans="1:45" s="3" customFormat="1">
      <c r="A141" s="3">
        <v>145</v>
      </c>
      <c r="B141" s="8">
        <v>3.2000000000000001E-2</v>
      </c>
      <c r="C141" s="3">
        <v>0</v>
      </c>
      <c r="D141" s="8">
        <v>3.2000000000000001E-2</v>
      </c>
      <c r="E141" s="12">
        <v>0.99999999989999999</v>
      </c>
      <c r="F141" s="13">
        <f>1-Table1[[#This Row],[one-year conditional mortality AT ISSUE]]</f>
        <v>1.000000082740371E-10</v>
      </c>
      <c r="G141" s="13">
        <f>PRODUCT(F$17:F141)</f>
        <v>1.1156714449389613E-261</v>
      </c>
      <c r="H141" s="13">
        <f>Table1[[#This Row],[one-year conditional survival AT ISSUE]]*(1-Table1[[#This Row],[Lapse rate]])</f>
        <v>9.6800008009267909E-11</v>
      </c>
      <c r="I141" s="13">
        <f>PRODUCT(H$17:H141)</f>
        <v>1.2994952012621839E-263</v>
      </c>
      <c r="J141" s="13">
        <f>G140*Table1[[#This Row],[one-year conditional mortality AT ISSUE]]</f>
        <v>1.1156713525163326E-251</v>
      </c>
      <c r="K141" s="10">
        <f>I140*Table1[[#This Row],[one-year conditional mortality AT ISSUE]]</f>
        <v>1.3424536091028185E-253</v>
      </c>
      <c r="L141" s="3">
        <f t="shared" si="5"/>
        <v>1.9910109748700498E-3</v>
      </c>
      <c r="M141" s="44">
        <f>Table1[[#This Row],[Death benefit pay probability]]/Table1[[#This Row],[unconditional persistency AT ISSUE]]</f>
        <v>10330577656.607809</v>
      </c>
      <c r="N141" s="44">
        <f>Table1[[#This Row],[one-year conditional mortality AT ISSUE]]/Table1[[#This Row],[one-year conditional persistency AT ISSUE]]</f>
        <v>10330577656.607809</v>
      </c>
      <c r="O141" s="4">
        <f>(1+$B$14)^(Table1[[#This Row],[age since issue]]-$A$17)</f>
        <v>71.220230404164454</v>
      </c>
      <c r="P141" s="5">
        <f>(Table1[[#This Row],[level premium unmarked-up]]*Table1[[#This Row],[unconditional persistency AT ISSUE]]-Table1[[#This Row],[Death benefit pay probability]])</f>
        <v>-1.3424536091025597E-253</v>
      </c>
      <c r="Q141" s="4">
        <f>Table1[[#This Row],[Issuer profit with unmarked-up level premium]]/Table1[[#This Row],[Issuer discounter at issue]]</f>
        <v>-1.8849329768863855E-255</v>
      </c>
      <c r="R141" s="4">
        <f>(Table1[[#This Row],[variable premium unmarked up]]*Table1[[#This Row],[unconditional persistency AT ISSUE]]-Table1[[#This Row],[Death benefit pay probability]])</f>
        <v>0</v>
      </c>
      <c r="S141" s="6">
        <f>Table1[[#This Row],[level premium unmarked-up]]*(1+$B$15)</f>
        <v>1.9910109748700498E-3</v>
      </c>
      <c r="T141" s="6">
        <f>MIN(Table1[[#This Row],[variable premium unmarked up]]*(1+$B$15),1)</f>
        <v>1</v>
      </c>
      <c r="U141" s="6">
        <f>Table1[[#This Row],[level premium marked up]]-Table1[[#This Row],[variable premium marked up]]</f>
        <v>-0.99800898902512991</v>
      </c>
      <c r="V141" s="6">
        <f>Table1[[#This Row],[additional cash]]+V140*(1+$D$2)</f>
        <v>-48.533439137059204</v>
      </c>
      <c r="W141" s="12">
        <v>0.5</v>
      </c>
      <c r="X141" s="13">
        <f>1-Table1[[#This Row],[one-year conditional mortality NOW]]</f>
        <v>0.5</v>
      </c>
      <c r="Y141" s="49">
        <f>PRODUCT(X$17:X141)</f>
        <v>5.7439184839245041E-15</v>
      </c>
      <c r="Z141" s="13">
        <f>Table1[[#This Row],[one-year conditional survival NOW]]*(1-Table1[[#This Row],[Lapse rate]])</f>
        <v>0.48399999999999999</v>
      </c>
      <c r="AA141" s="13">
        <f>PRODUCT(Z$17:Z141)</f>
        <v>9.7832587867082155E-17</v>
      </c>
      <c r="AB141" s="50">
        <f>Y140*Table1[[#This Row],[one-year conditional mortality NOW]]</f>
        <v>5.7439184839245041E-15</v>
      </c>
      <c r="AC141" s="14">
        <v>1.9699999999999999E-2</v>
      </c>
      <c r="AD141" s="28">
        <f>(1+Table1[[#This Row],[Yield curve now]])^(Table1[[#This Row],[age since issue]]-$A$23)</f>
        <v>9.9941411249417964</v>
      </c>
      <c r="AE141" s="46">
        <f t="shared" si="4"/>
        <v>30.566186732411992</v>
      </c>
      <c r="AF141" s="42">
        <f>1-Table1[[#This Row],[cumulative debt until t]]</f>
        <v>-29.566186732411992</v>
      </c>
      <c r="AG141" s="46">
        <f>Table1[[#This Row],[cumulative debt until t]]*Table1[[#This Row],[Unconditional mortality NOW]]/Table1[[#This Row],[discouter with yield curve]]</f>
        <v>1.7567260934231769E-14</v>
      </c>
      <c r="AH141" s="48">
        <f>Table1[[#This Row],[Unconditional mortality NOW]]/Table1[[#This Row],[discouter with yield curve]]</f>
        <v>5.7472857468359552E-16</v>
      </c>
      <c r="AI141" s="29">
        <f>Table1[[#This Row],[user profit (death benefit - debt)]]*Table1[[#This Row],[Unconditional mortality NOW]]/Table1[[#This Row],[discouter with yield curve]]</f>
        <v>-1.6992532359548176E-14</v>
      </c>
      <c r="AJ141" s="29">
        <f>(1+$D$4)^(Table1[[#This Row],[age since issue]]-$A$23)</f>
        <v>14532661.627164945</v>
      </c>
      <c r="AK141" s="57">
        <f>Table1[[#This Row],[level premium marked up]]*Table1[[#This Row],[unconditional survival NOW]]</f>
        <v>1.1436204740252625E-17</v>
      </c>
      <c r="AL141" s="62">
        <f>Table1[[#This Row],[cumulative debt until t]]*Table1[[#This Row],[Unconditional mortality NOW]]</f>
        <v>1.7556968495538917E-13</v>
      </c>
      <c r="AM141" s="47">
        <f>Table1[[#This Row],[probablistic premium stream]]/Table1[[#This Row],[lender discounter]]</f>
        <v>7.8693119221021988E-25</v>
      </c>
      <c r="AN141" s="58">
        <f>Table1[[#This Row],[probablistic repay from borrower]]/Table1[[#This Row],[lender discounter]]</f>
        <v>1.2081041275137676E-20</v>
      </c>
      <c r="AO141" s="47">
        <f>(Table1[[#This Row],[probablistic repay from borrower]]-Table1[[#This Row],[probablistic premium stream]])/Table1[[#This Row],[lender discounter]]</f>
        <v>1.2080254343945466E-20</v>
      </c>
      <c r="AP141" s="46">
        <f>AP140*(1+$D$4)+ Table1[[#This Row],[level premium marked up]]</f>
        <v>221832.60081207374</v>
      </c>
      <c r="AQ141" s="58">
        <f>AP141*Table1[[#This Row],[Unconditional mortality NOW]]</f>
        <v>1.2741883761415163E-9</v>
      </c>
      <c r="AR141" s="60">
        <f>Table1[[#This Row],[cumulative debt until t]]*Table1[[#This Row],[Unconditional mortality NOW]]</f>
        <v>1.7556968495538917E-13</v>
      </c>
      <c r="AS141" s="58">
        <f>Table1[[#This Row],[lender to pay cumulative probablistic undiscounted]]/Table1[[#This Row],[lender discounter]]</f>
        <v>8.7677564429062335E-17</v>
      </c>
    </row>
    <row r="142" spans="1:45" s="3" customFormat="1">
      <c r="A142" s="3">
        <v>146</v>
      </c>
      <c r="B142" s="8">
        <v>3.2000000000000001E-2</v>
      </c>
      <c r="C142" s="3">
        <v>0</v>
      </c>
      <c r="D142" s="8">
        <v>3.2000000000000001E-2</v>
      </c>
      <c r="E142" s="12">
        <v>0.99999999989999999</v>
      </c>
      <c r="F142" s="13">
        <f>1-Table1[[#This Row],[one-year conditional mortality AT ISSUE]]</f>
        <v>1.000000082740371E-10</v>
      </c>
      <c r="G142" s="13">
        <f>PRODUCT(F$17:F142)</f>
        <v>1.1156715372500306E-271</v>
      </c>
      <c r="H142" s="13">
        <f>Table1[[#This Row],[one-year conditional survival AT ISSUE]]*(1-Table1[[#This Row],[Lapse rate]])</f>
        <v>9.6800008009267909E-11</v>
      </c>
      <c r="I142" s="13">
        <f>PRODUCT(H$17:H142)</f>
        <v>1.2579114589018462E-273</v>
      </c>
      <c r="J142" s="13">
        <f>G141*Table1[[#This Row],[one-year conditional mortality AT ISSUE]]</f>
        <v>1.1156714448273942E-261</v>
      </c>
      <c r="K142" s="10">
        <f>I141*Table1[[#This Row],[one-year conditional mortality AT ISSUE]]</f>
        <v>1.2994952011322345E-263</v>
      </c>
      <c r="L142" s="3">
        <f t="shared" si="5"/>
        <v>1.9910109748700498E-3</v>
      </c>
      <c r="M142" s="44">
        <f>Table1[[#This Row],[Death benefit pay probability]]/Table1[[#This Row],[unconditional persistency AT ISSUE]]</f>
        <v>10330577656.607809</v>
      </c>
      <c r="N142" s="44">
        <f>Table1[[#This Row],[one-year conditional mortality AT ISSUE]]/Table1[[#This Row],[one-year conditional persistency AT ISSUE]]</f>
        <v>10330577656.607809</v>
      </c>
      <c r="O142" s="4">
        <f>(1+$B$14)^(Table1[[#This Row],[age since issue]]-$A$17)</f>
        <v>73.712938468310185</v>
      </c>
      <c r="P142" s="5">
        <f>(Table1[[#This Row],[level premium unmarked-up]]*Table1[[#This Row],[unconditional persistency AT ISSUE]]-Table1[[#This Row],[Death benefit pay probability]])</f>
        <v>-1.299495201131984E-263</v>
      </c>
      <c r="Q142" s="4">
        <f>Table1[[#This Row],[Issuer profit with unmarked-up level premium]]/Table1[[#This Row],[Issuer discounter at issue]]</f>
        <v>-1.7629133068554144E-265</v>
      </c>
      <c r="R142" s="4">
        <f>(Table1[[#This Row],[variable premium unmarked up]]*Table1[[#This Row],[unconditional persistency AT ISSUE]]-Table1[[#This Row],[Death benefit pay probability]])</f>
        <v>0</v>
      </c>
      <c r="S142" s="6">
        <f>Table1[[#This Row],[level premium unmarked-up]]*(1+$B$15)</f>
        <v>1.9910109748700498E-3</v>
      </c>
      <c r="T142" s="6">
        <f>MIN(Table1[[#This Row],[variable premium unmarked up]]*(1+$B$15),1)</f>
        <v>1</v>
      </c>
      <c r="U142" s="6">
        <f>Table1[[#This Row],[level premium marked up]]-Table1[[#This Row],[variable premium marked up]]</f>
        <v>-0.99800898902512991</v>
      </c>
      <c r="V142" s="6">
        <f>Table1[[#This Row],[additional cash]]+V141*(1+$D$2)</f>
        <v>-49.579981565221388</v>
      </c>
      <c r="W142" s="12">
        <v>0.5</v>
      </c>
      <c r="X142" s="13">
        <f>1-Table1[[#This Row],[one-year conditional mortality NOW]]</f>
        <v>0.5</v>
      </c>
      <c r="Y142" s="49">
        <f>PRODUCT(X$17:X142)</f>
        <v>2.871959241962252E-15</v>
      </c>
      <c r="Z142" s="13">
        <f>Table1[[#This Row],[one-year conditional survival NOW]]*(1-Table1[[#This Row],[Lapse rate]])</f>
        <v>0.48399999999999999</v>
      </c>
      <c r="AA142" s="13">
        <f>PRODUCT(Z$17:Z142)</f>
        <v>4.7350972527667761E-17</v>
      </c>
      <c r="AB142" s="50">
        <f>Y141*Table1[[#This Row],[one-year conditional mortality NOW]]</f>
        <v>2.871959241962252E-15</v>
      </c>
      <c r="AC142" s="14">
        <v>1.9699999999999999E-2</v>
      </c>
      <c r="AD142" s="28">
        <f>(1+Table1[[#This Row],[Yield curve now]])^(Table1[[#This Row],[age since issue]]-$A$23)</f>
        <v>10.191025705103151</v>
      </c>
      <c r="AE142" s="46">
        <f t="shared" si="4"/>
        <v>32.367944370053962</v>
      </c>
      <c r="AF142" s="42">
        <f>1-Table1[[#This Row],[cumulative debt until t]]</f>
        <v>-31.367944370053962</v>
      </c>
      <c r="AG142" s="46">
        <f>Table1[[#This Row],[cumulative debt until t]]*Table1[[#This Row],[Unconditional mortality NOW]]/Table1[[#This Row],[discouter with yield curve]]</f>
        <v>9.1216938968515356E-15</v>
      </c>
      <c r="AH142" s="48">
        <f>Table1[[#This Row],[Unconditional mortality NOW]]/Table1[[#This Row],[discouter with yield curve]]</f>
        <v>2.818125795251522E-16</v>
      </c>
      <c r="AI142" s="29">
        <f>Table1[[#This Row],[user profit (death benefit - debt)]]*Table1[[#This Row],[Unconditional mortality NOW]]/Table1[[#This Row],[discouter with yield curve]]</f>
        <v>-8.8398813173263825E-15</v>
      </c>
      <c r="AJ142" s="29">
        <f>(1+$D$4)^(Table1[[#This Row],[age since issue]]-$A$23)</f>
        <v>16712560.871239685</v>
      </c>
      <c r="AK142" s="57">
        <f>Table1[[#This Row],[level premium marked up]]*Table1[[#This Row],[unconditional survival NOW]]</f>
        <v>5.7181023701263124E-18</v>
      </c>
      <c r="AL142" s="62">
        <f>Table1[[#This Row],[cumulative debt until t]]*Table1[[#This Row],[Unconditional mortality NOW]]</f>
        <v>9.2959416976896523E-14</v>
      </c>
      <c r="AM142" s="47">
        <f>Table1[[#This Row],[probablistic premium stream]]/Table1[[#This Row],[lender discounter]]</f>
        <v>3.4214399661313916E-25</v>
      </c>
      <c r="AN142" s="58">
        <f>Table1[[#This Row],[probablistic repay from borrower]]/Table1[[#This Row],[lender discounter]]</f>
        <v>5.5622485203251251E-21</v>
      </c>
      <c r="AO142" s="47">
        <f>(Table1[[#This Row],[probablistic repay from borrower]]-Table1[[#This Row],[probablistic premium stream]])/Table1[[#This Row],[lender discounter]]</f>
        <v>5.561906376328512E-21</v>
      </c>
      <c r="AP142" s="46">
        <f>AP141*(1+$D$4)+ Table1[[#This Row],[level premium marked up]]</f>
        <v>255107.49292489575</v>
      </c>
      <c r="AQ142" s="58">
        <f>AP142*Table1[[#This Row],[Unconditional mortality NOW]]</f>
        <v>7.326583219994742E-10</v>
      </c>
      <c r="AR142" s="60">
        <f>Table1[[#This Row],[cumulative debt until t]]*Table1[[#This Row],[Unconditional mortality NOW]]</f>
        <v>9.2959416976896523E-14</v>
      </c>
      <c r="AS142" s="58">
        <f>Table1[[#This Row],[lender to pay cumulative probablistic undiscounted]]/Table1[[#This Row],[lender discounter]]</f>
        <v>4.3838782556675168E-17</v>
      </c>
    </row>
    <row r="143" spans="1:45" s="3" customFormat="1">
      <c r="A143" s="3">
        <v>147</v>
      </c>
      <c r="B143" s="8">
        <v>3.2000000000000001E-2</v>
      </c>
      <c r="C143" s="3">
        <v>0</v>
      </c>
      <c r="D143" s="8">
        <v>3.2000000000000001E-2</v>
      </c>
      <c r="E143" s="12">
        <v>0.99999999989999999</v>
      </c>
      <c r="F143" s="13">
        <f>1-Table1[[#This Row],[one-year conditional mortality AT ISSUE]]</f>
        <v>1.000000082740371E-10</v>
      </c>
      <c r="G143" s="13">
        <f>PRODUCT(F$17:F143)</f>
        <v>1.1156716295611076E-281</v>
      </c>
      <c r="H143" s="13">
        <f>Table1[[#This Row],[one-year conditional survival AT ISSUE]]*(1-Table1[[#This Row],[Lapse rate]])</f>
        <v>9.6800008009267909E-11</v>
      </c>
      <c r="I143" s="13">
        <f>PRODUCT(H$17:H143)</f>
        <v>1.2176583929664859E-283</v>
      </c>
      <c r="J143" s="13">
        <f>G142*Table1[[#This Row],[one-year conditional mortality AT ISSUE]]</f>
        <v>1.1156715371384634E-271</v>
      </c>
      <c r="K143" s="10">
        <f>I142*Table1[[#This Row],[one-year conditional mortality AT ISSUE]]</f>
        <v>1.2579114587760551E-273</v>
      </c>
      <c r="L143" s="3">
        <f t="shared" si="5"/>
        <v>1.9910109748700498E-3</v>
      </c>
      <c r="M143" s="44">
        <f>Table1[[#This Row],[Death benefit pay probability]]/Table1[[#This Row],[unconditional persistency AT ISSUE]]</f>
        <v>10330577656.607809</v>
      </c>
      <c r="N143" s="44">
        <f>Table1[[#This Row],[one-year conditional mortality AT ISSUE]]/Table1[[#This Row],[one-year conditional persistency AT ISSUE]]</f>
        <v>10330577656.607809</v>
      </c>
      <c r="O143" s="4">
        <f>(1+$B$14)^(Table1[[#This Row],[age since issue]]-$A$17)</f>
        <v>76.292891314701038</v>
      </c>
      <c r="P143" s="5">
        <f>(Table1[[#This Row],[level premium unmarked-up]]*Table1[[#This Row],[unconditional persistency AT ISSUE]]-Table1[[#This Row],[Death benefit pay probability]])</f>
        <v>-1.2579114587758127E-273</v>
      </c>
      <c r="Q143" s="4">
        <f>Table1[[#This Row],[Issuer profit with unmarked-up level premium]]/Table1[[#This Row],[Issuer discounter at issue]]</f>
        <v>-1.6487924852487839E-275</v>
      </c>
      <c r="R143" s="4">
        <f>(Table1[[#This Row],[variable premium unmarked up]]*Table1[[#This Row],[unconditional persistency AT ISSUE]]-Table1[[#This Row],[Death benefit pay probability]])</f>
        <v>0</v>
      </c>
      <c r="S143" s="6">
        <f>Table1[[#This Row],[level premium unmarked-up]]*(1+$B$15)</f>
        <v>1.9910109748700498E-3</v>
      </c>
      <c r="T143" s="6">
        <f>MIN(Table1[[#This Row],[variable premium unmarked up]]*(1+$B$15),1)</f>
        <v>1</v>
      </c>
      <c r="U143" s="6">
        <f>Table1[[#This Row],[level premium marked up]]-Table1[[#This Row],[variable premium marked up]]</f>
        <v>-0.99800898902512991</v>
      </c>
      <c r="V143" s="6">
        <f>Table1[[#This Row],[additional cash]]+V142*(1+$D$2)</f>
        <v>-50.627570535811735</v>
      </c>
      <c r="W143" s="12">
        <v>0.5</v>
      </c>
      <c r="X143" s="13">
        <f>1-Table1[[#This Row],[one-year conditional mortality NOW]]</f>
        <v>0.5</v>
      </c>
      <c r="Y143" s="49">
        <f>PRODUCT(X$17:X143)</f>
        <v>1.435979620981126E-15</v>
      </c>
      <c r="Z143" s="13">
        <f>Table1[[#This Row],[one-year conditional survival NOW]]*(1-Table1[[#This Row],[Lapse rate]])</f>
        <v>0.48399999999999999</v>
      </c>
      <c r="AA143" s="13">
        <f>PRODUCT(Z$17:Z143)</f>
        <v>2.2917870703391197E-17</v>
      </c>
      <c r="AB143" s="50">
        <f>Y142*Table1[[#This Row],[one-year conditional mortality NOW]]</f>
        <v>1.435979620981126E-15</v>
      </c>
      <c r="AC143" s="14">
        <v>1.9699999999999999E-2</v>
      </c>
      <c r="AD143" s="28">
        <f>(1+Table1[[#This Row],[Yield curve now]])^(Table1[[#This Row],[age since issue]]-$A$23)</f>
        <v>10.391788911493684</v>
      </c>
      <c r="AE143" s="46">
        <f t="shared" si="4"/>
        <v>34.275784329409468</v>
      </c>
      <c r="AF143" s="42">
        <f>1-Table1[[#This Row],[cumulative debt until t]]</f>
        <v>-33.275784329409468</v>
      </c>
      <c r="AG143" s="46">
        <f>Table1[[#This Row],[cumulative debt until t]]*Table1[[#This Row],[Unconditional mortality NOW]]/Table1[[#This Row],[discouter with yield curve]]</f>
        <v>4.7363671654009368E-15</v>
      </c>
      <c r="AH143" s="48">
        <f>Table1[[#This Row],[Unconditional mortality NOW]]/Table1[[#This Row],[discouter with yield curve]]</f>
        <v>1.3818406370753761E-16</v>
      </c>
      <c r="AI143" s="29">
        <f>Table1[[#This Row],[user profit (death benefit - debt)]]*Table1[[#This Row],[Unconditional mortality NOW]]/Table1[[#This Row],[discouter with yield curve]]</f>
        <v>-4.5981831016933991E-15</v>
      </c>
      <c r="AJ143" s="29">
        <f>(1+$D$4)^(Table1[[#This Row],[age since issue]]-$A$23)</f>
        <v>19219445.001925636</v>
      </c>
      <c r="AK143" s="57">
        <f>Table1[[#This Row],[level premium marked up]]*Table1[[#This Row],[unconditional survival NOW]]</f>
        <v>2.8590511850631562E-18</v>
      </c>
      <c r="AL143" s="62">
        <f>Table1[[#This Row],[cumulative debt until t]]*Table1[[#This Row],[Unconditional mortality NOW]]</f>
        <v>4.9219327790176225E-14</v>
      </c>
      <c r="AM143" s="47">
        <f>Table1[[#This Row],[probablistic premium stream]]/Table1[[#This Row],[lender discounter]]</f>
        <v>1.4875825939701703E-25</v>
      </c>
      <c r="AN143" s="58">
        <f>Table1[[#This Row],[probablistic repay from borrower]]/Table1[[#This Row],[lender discounter]]</f>
        <v>2.5609130640996575E-21</v>
      </c>
      <c r="AO143" s="47">
        <f>(Table1[[#This Row],[probablistic repay from borrower]]-Table1[[#This Row],[probablistic premium stream]])/Table1[[#This Row],[lender discounter]]</f>
        <v>2.5607643058402603E-21</v>
      </c>
      <c r="AP143" s="46">
        <f>AP142*(1+$D$4)+ Table1[[#This Row],[level premium marked up]]</f>
        <v>293373.61885464104</v>
      </c>
      <c r="AQ143" s="58">
        <f>AP143*Table1[[#This Row],[Unconditional mortality NOW]]</f>
        <v>4.2127853800874877E-10</v>
      </c>
      <c r="AR143" s="60">
        <f>Table1[[#This Row],[cumulative debt until t]]*Table1[[#This Row],[Unconditional mortality NOW]]</f>
        <v>4.9219327790176225E-14</v>
      </c>
      <c r="AS143" s="58">
        <f>Table1[[#This Row],[lender to pay cumulative probablistic undiscounted]]/Table1[[#This Row],[lender discounter]]</f>
        <v>2.191939142709584E-17</v>
      </c>
    </row>
    <row r="144" spans="1:45" s="3" customFormat="1">
      <c r="A144" s="3">
        <v>148</v>
      </c>
      <c r="B144" s="8">
        <v>3.2000000000000001E-2</v>
      </c>
      <c r="C144" s="3">
        <v>0</v>
      </c>
      <c r="D144" s="8">
        <v>3.2000000000000001E-2</v>
      </c>
      <c r="E144" s="12">
        <v>0.99999999989999999</v>
      </c>
      <c r="F144" s="13">
        <f>1-Table1[[#This Row],[one-year conditional mortality AT ISSUE]]</f>
        <v>1.000000082740371E-10</v>
      </c>
      <c r="G144" s="13">
        <f>PRODUCT(F$17:F144)</f>
        <v>1.1156717218721921E-291</v>
      </c>
      <c r="H144" s="13">
        <f>Table1[[#This Row],[one-year conditional survival AT ISSUE]]*(1-Table1[[#This Row],[Lapse rate]])</f>
        <v>9.6800008009267909E-11</v>
      </c>
      <c r="I144" s="13">
        <f>PRODUCT(H$17:H144)</f>
        <v>1.1786934219170813E-293</v>
      </c>
      <c r="J144" s="13">
        <f>G143*Table1[[#This Row],[one-year conditional mortality AT ISSUE]]</f>
        <v>1.1156716294495404E-281</v>
      </c>
      <c r="K144" s="10">
        <f>I143*Table1[[#This Row],[one-year conditional mortality AT ISSUE]]</f>
        <v>1.21765839284472E-283</v>
      </c>
      <c r="L144" s="3">
        <f t="shared" si="5"/>
        <v>1.9910109748700498E-3</v>
      </c>
      <c r="M144" s="44">
        <f>Table1[[#This Row],[Death benefit pay probability]]/Table1[[#This Row],[unconditional persistency AT ISSUE]]</f>
        <v>10330577656.607809</v>
      </c>
      <c r="N144" s="44">
        <f>Table1[[#This Row],[one-year conditional mortality AT ISSUE]]/Table1[[#This Row],[one-year conditional persistency AT ISSUE]]</f>
        <v>10330577656.607809</v>
      </c>
      <c r="O144" s="4">
        <f>(1+$B$14)^(Table1[[#This Row],[age since issue]]-$A$17)</f>
        <v>78.963142510715571</v>
      </c>
      <c r="P144" s="5">
        <f>(Table1[[#This Row],[level premium unmarked-up]]*Table1[[#This Row],[unconditional persistency AT ISSUE]]-Table1[[#This Row],[Death benefit pay probability]])</f>
        <v>-1.2176583928444854E-283</v>
      </c>
      <c r="Q144" s="4">
        <f>Table1[[#This Row],[Issuer profit with unmarked-up level premium]]/Table1[[#This Row],[Issuer discounter at issue]]</f>
        <v>-1.542059186258E-285</v>
      </c>
      <c r="R144" s="4">
        <f>(Table1[[#This Row],[variable premium unmarked up]]*Table1[[#This Row],[unconditional persistency AT ISSUE]]-Table1[[#This Row],[Death benefit pay probability]])</f>
        <v>0</v>
      </c>
      <c r="S144" s="6">
        <f>Table1[[#This Row],[level premium unmarked-up]]*(1+$B$15)</f>
        <v>1.9910109748700498E-3</v>
      </c>
      <c r="T144" s="6">
        <f>MIN(Table1[[#This Row],[variable premium unmarked up]]*(1+$B$15),1)</f>
        <v>1</v>
      </c>
      <c r="U144" s="6">
        <f>Table1[[#This Row],[level premium marked up]]-Table1[[#This Row],[variable premium marked up]]</f>
        <v>-0.99800898902512991</v>
      </c>
      <c r="V144" s="6">
        <f>Table1[[#This Row],[additional cash]]+V143*(1+$D$2)</f>
        <v>-51.676207095372675</v>
      </c>
      <c r="W144" s="12">
        <v>0.5</v>
      </c>
      <c r="X144" s="13">
        <f>1-Table1[[#This Row],[one-year conditional mortality NOW]]</f>
        <v>0.5</v>
      </c>
      <c r="Y144" s="49">
        <f>PRODUCT(X$17:X144)</f>
        <v>7.1798981049056301E-16</v>
      </c>
      <c r="Z144" s="13">
        <f>Table1[[#This Row],[one-year conditional survival NOW]]*(1-Table1[[#This Row],[Lapse rate]])</f>
        <v>0.48399999999999999</v>
      </c>
      <c r="AA144" s="13">
        <f>PRODUCT(Z$17:Z144)</f>
        <v>1.1092249420441339E-17</v>
      </c>
      <c r="AB144" s="50">
        <f>Y143*Table1[[#This Row],[one-year conditional mortality NOW]]</f>
        <v>7.1798981049056301E-16</v>
      </c>
      <c r="AC144" s="14">
        <v>1.9699999999999999E-2</v>
      </c>
      <c r="AD144" s="28">
        <f>(1+Table1[[#This Row],[Yield curve now]])^(Table1[[#This Row],[age since issue]]-$A$23)</f>
        <v>10.59650715305011</v>
      </c>
      <c r="AE144" s="46">
        <f t="shared" si="4"/>
        <v>36.295952433304528</v>
      </c>
      <c r="AF144" s="42">
        <f>1-Table1[[#This Row],[cumulative debt until t]]</f>
        <v>-35.295952433304528</v>
      </c>
      <c r="AG144" s="46">
        <f>Table1[[#This Row],[cumulative debt until t]]*Table1[[#This Row],[Unconditional mortality NOW]]/Table1[[#This Row],[discouter with yield curve]]</f>
        <v>2.45931264262504E-15</v>
      </c>
      <c r="AH144" s="48">
        <f>Table1[[#This Row],[Unconditional mortality NOW]]/Table1[[#This Row],[discouter with yield curve]]</f>
        <v>6.7757214723711673E-17</v>
      </c>
      <c r="AI144" s="29">
        <f>Table1[[#This Row],[user profit (death benefit - debt)]]*Table1[[#This Row],[Unconditional mortality NOW]]/Table1[[#This Row],[discouter with yield curve]]</f>
        <v>-2.3915554279013284E-15</v>
      </c>
      <c r="AJ144" s="29">
        <f>(1+$D$4)^(Table1[[#This Row],[age since issue]]-$A$23)</f>
        <v>22102361.75221448</v>
      </c>
      <c r="AK144" s="57">
        <f>Table1[[#This Row],[level premium marked up]]*Table1[[#This Row],[unconditional survival NOW]]</f>
        <v>1.4295255925315781E-18</v>
      </c>
      <c r="AL144" s="62">
        <f>Table1[[#This Row],[cumulative debt until t]]*Table1[[#This Row],[Unconditional mortality NOW]]</f>
        <v>2.6060124009162807E-14</v>
      </c>
      <c r="AM144" s="47">
        <f>Table1[[#This Row],[probablistic premium stream]]/Table1[[#This Row],[lender discounter]]</f>
        <v>6.4677504085659581E-26</v>
      </c>
      <c r="AN144" s="58">
        <f>Table1[[#This Row],[probablistic repay from borrower]]/Table1[[#This Row],[lender discounter]]</f>
        <v>1.1790651289359062E-21</v>
      </c>
      <c r="AO144" s="47">
        <f>(Table1[[#This Row],[probablistic repay from borrower]]-Table1[[#This Row],[probablistic premium stream]])/Table1[[#This Row],[lender discounter]]</f>
        <v>1.1790004514318205E-21</v>
      </c>
      <c r="AP144" s="46">
        <f>AP143*(1+$D$4)+ Table1[[#This Row],[level premium marked up]]</f>
        <v>337379.66367384815</v>
      </c>
      <c r="AQ144" s="58">
        <f>AP144*Table1[[#This Row],[Unconditional mortality NOW]]</f>
        <v>2.4223516078455613E-10</v>
      </c>
      <c r="AR144" s="60">
        <f>Table1[[#This Row],[cumulative debt until t]]*Table1[[#This Row],[Unconditional mortality NOW]]</f>
        <v>2.6060124009162807E-14</v>
      </c>
      <c r="AS144" s="58">
        <f>Table1[[#This Row],[lender to pay cumulative probablistic undiscounted]]/Table1[[#This Row],[lender discounter]]</f>
        <v>1.0959695778225424E-17</v>
      </c>
    </row>
    <row r="145" spans="1:45" s="3" customFormat="1">
      <c r="A145" s="3">
        <v>149</v>
      </c>
      <c r="B145" s="8">
        <v>3.2000000000000001E-2</v>
      </c>
      <c r="C145" s="3">
        <v>0</v>
      </c>
      <c r="D145" s="8">
        <v>3.2000000000000001E-2</v>
      </c>
      <c r="E145" s="12">
        <v>0.99999999989999999</v>
      </c>
      <c r="F145" s="13">
        <f>1-Table1[[#This Row],[one-year conditional mortality AT ISSUE]]</f>
        <v>1.000000082740371E-10</v>
      </c>
      <c r="G145" s="13">
        <f>PRODUCT(F$17:F145)</f>
        <v>1.1156718141832844E-301</v>
      </c>
      <c r="H145" s="13">
        <f>Table1[[#This Row],[one-year conditional survival AT ISSUE]]*(1-Table1[[#This Row],[Lapse rate]])</f>
        <v>9.6800008009267909E-11</v>
      </c>
      <c r="I145" s="13">
        <f>PRODUCT(H$17:H145)</f>
        <v>1.1409753268204486E-303</v>
      </c>
      <c r="J145" s="13">
        <f>G144*Table1[[#This Row],[one-year conditional mortality AT ISSUE]]</f>
        <v>1.115671721760625E-291</v>
      </c>
      <c r="K145" s="10">
        <f>I144*Table1[[#This Row],[one-year conditional mortality AT ISSUE]]</f>
        <v>1.1786934217992119E-293</v>
      </c>
      <c r="L145" s="3">
        <f t="shared" ref="L145:L176" si="6">$B$1</f>
        <v>1.9910109748700498E-3</v>
      </c>
      <c r="M145" s="44">
        <f>Table1[[#This Row],[Death benefit pay probability]]/Table1[[#This Row],[unconditional persistency AT ISSUE]]</f>
        <v>10330577656.607809</v>
      </c>
      <c r="N145" s="44">
        <f>Table1[[#This Row],[one-year conditional mortality AT ISSUE]]/Table1[[#This Row],[one-year conditional persistency AT ISSUE]]</f>
        <v>10330577656.607809</v>
      </c>
      <c r="O145" s="4">
        <f>(1+$B$14)^(Table1[[#This Row],[age since issue]]-$A$17)</f>
        <v>81.726852498590603</v>
      </c>
      <c r="P145" s="5">
        <f>(Table1[[#This Row],[level premium unmarked-up]]*Table1[[#This Row],[unconditional persistency AT ISSUE]]-Table1[[#This Row],[Death benefit pay probability]])</f>
        <v>-1.1786934217989847E-293</v>
      </c>
      <c r="Q145" s="4">
        <f>Table1[[#This Row],[Issuer profit with unmarked-up level premium]]/Table1[[#This Row],[Issuer discounter at issue]]</f>
        <v>-1.4422351843530393E-295</v>
      </c>
      <c r="R145" s="4">
        <f>(Table1[[#This Row],[variable premium unmarked up]]*Table1[[#This Row],[unconditional persistency AT ISSUE]]-Table1[[#This Row],[Death benefit pay probability]])</f>
        <v>0</v>
      </c>
      <c r="S145" s="6">
        <f>Table1[[#This Row],[level premium unmarked-up]]*(1+$B$15)</f>
        <v>1.9910109748700498E-3</v>
      </c>
      <c r="T145" s="6">
        <f>MIN(Table1[[#This Row],[variable premium unmarked up]]*(1+$B$15),1)</f>
        <v>1</v>
      </c>
      <c r="U145" s="6">
        <f>Table1[[#This Row],[level premium marked up]]-Table1[[#This Row],[variable premium marked up]]</f>
        <v>-0.99800898902512991</v>
      </c>
      <c r="V145" s="6">
        <f>Table1[[#This Row],[additional cash]]+V144*(1+$D$2)</f>
        <v>-52.725892291493174</v>
      </c>
      <c r="W145" s="12">
        <v>0.5</v>
      </c>
      <c r="X145" s="13">
        <f>1-Table1[[#This Row],[one-year conditional mortality NOW]]</f>
        <v>0.5</v>
      </c>
      <c r="Y145" s="49">
        <f>PRODUCT(X$17:X145)</f>
        <v>3.589949052452815E-16</v>
      </c>
      <c r="Z145" s="13">
        <f>Table1[[#This Row],[one-year conditional survival NOW]]*(1-Table1[[#This Row],[Lapse rate]])</f>
        <v>0.48399999999999999</v>
      </c>
      <c r="AA145" s="13">
        <f>PRODUCT(Z$17:Z145)</f>
        <v>5.3686487194936076E-18</v>
      </c>
      <c r="AB145" s="50">
        <f>Y144*Table1[[#This Row],[one-year conditional mortality NOW]]</f>
        <v>3.589949052452815E-16</v>
      </c>
      <c r="AC145" s="14">
        <v>1.9699999999999999E-2</v>
      </c>
      <c r="AD145" s="28">
        <f>(1+Table1[[#This Row],[Yield curve now]])^(Table1[[#This Row],[age since issue]]-$A$23)</f>
        <v>10.805258343965196</v>
      </c>
      <c r="AE145" s="46">
        <f t="shared" si="4"/>
        <v>38.43506224069823</v>
      </c>
      <c r="AF145" s="42">
        <f>1-Table1[[#This Row],[cumulative debt until t]]</f>
        <v>-37.43506224069823</v>
      </c>
      <c r="AG145" s="46">
        <f>Table1[[#This Row],[cumulative debt until t]]*Table1[[#This Row],[Unconditional mortality NOW]]/Table1[[#This Row],[discouter with yield curve]]</f>
        <v>1.276970072159563E-15</v>
      </c>
      <c r="AH145" s="48">
        <f>Table1[[#This Row],[Unconditional mortality NOW]]/Table1[[#This Row],[discouter with yield curve]]</f>
        <v>3.3224092734976799E-17</v>
      </c>
      <c r="AI145" s="29">
        <f>Table1[[#This Row],[user profit (death benefit - debt)]]*Table1[[#This Row],[Unconditional mortality NOW]]/Table1[[#This Row],[discouter with yield curve]]</f>
        <v>-1.2437459794245862E-15</v>
      </c>
      <c r="AJ145" s="29">
        <f>(1+$D$4)^(Table1[[#This Row],[age since issue]]-$A$23)</f>
        <v>25417716.015046652</v>
      </c>
      <c r="AK145" s="57">
        <f>Table1[[#This Row],[level premium marked up]]*Table1[[#This Row],[unconditional survival NOW]]</f>
        <v>7.1476279626578905E-19</v>
      </c>
      <c r="AL145" s="62">
        <f>Table1[[#This Row],[cumulative debt until t]]*Table1[[#This Row],[Unconditional mortality NOW]]</f>
        <v>1.3797991527195958E-14</v>
      </c>
      <c r="AM145" s="47">
        <f>Table1[[#This Row],[probablistic premium stream]]/Table1[[#This Row],[lender discounter]]</f>
        <v>2.8120653950286777E-26</v>
      </c>
      <c r="AN145" s="58">
        <f>Table1[[#This Row],[probablistic repay from borrower]]/Table1[[#This Row],[lender discounter]]</f>
        <v>5.4284938579956953E-22</v>
      </c>
      <c r="AO145" s="47">
        <f>(Table1[[#This Row],[probablistic repay from borrower]]-Table1[[#This Row],[probablistic premium stream]])/Table1[[#This Row],[lender discounter]]</f>
        <v>5.4282126514561924E-22</v>
      </c>
      <c r="AP145" s="46">
        <f>AP144*(1+$D$4)+ Table1[[#This Row],[level premium marked up]]</f>
        <v>387986.61521593633</v>
      </c>
      <c r="AQ145" s="58">
        <f>AP145*Table1[[#This Row],[Unconditional mortality NOW]]</f>
        <v>1.3928521816588255E-10</v>
      </c>
      <c r="AR145" s="60">
        <f>Table1[[#This Row],[cumulative debt until t]]*Table1[[#This Row],[Unconditional mortality NOW]]</f>
        <v>1.3797991527195958E-14</v>
      </c>
      <c r="AS145" s="58">
        <f>Table1[[#This Row],[lender to pay cumulative probablistic undiscounted]]/Table1[[#This Row],[lender discounter]]</f>
        <v>5.4798479172333652E-18</v>
      </c>
    </row>
    <row r="146" spans="1:45" s="3" customFormat="1">
      <c r="A146" s="3">
        <v>150</v>
      </c>
      <c r="B146" s="8">
        <v>3.2000000000000001E-2</v>
      </c>
      <c r="C146" s="3">
        <v>0</v>
      </c>
      <c r="D146" s="8">
        <v>3.2000000000000001E-2</v>
      </c>
      <c r="E146" s="12">
        <v>0.99999999989999999</v>
      </c>
      <c r="F146" s="13">
        <f>1-Table1[[#This Row],[one-year conditional mortality AT ISSUE]]</f>
        <v>1.000000082740371E-10</v>
      </c>
      <c r="G146" s="13">
        <f>PRODUCT(F$17:F146)</f>
        <v>0</v>
      </c>
      <c r="H146" s="13">
        <f>Table1[[#This Row],[one-year conditional survival AT ISSUE]]*(1-Table1[[#This Row],[Lapse rate]])</f>
        <v>9.6800008009267909E-11</v>
      </c>
      <c r="I146" s="13">
        <f>PRODUCT(H$17:H146)</f>
        <v>0</v>
      </c>
      <c r="J146" s="13">
        <f>G145*Table1[[#This Row],[one-year conditional mortality AT ISSUE]]</f>
        <v>1.1156718140717171E-301</v>
      </c>
      <c r="K146" s="10">
        <f>I145*Table1[[#This Row],[one-year conditional mortality AT ISSUE]]</f>
        <v>1.1409753267063511E-303</v>
      </c>
      <c r="L146" s="3">
        <f t="shared" si="6"/>
        <v>1.9910109748700498E-3</v>
      </c>
      <c r="M146" s="44">
        <v>1</v>
      </c>
      <c r="N146" s="44">
        <f>Table1[[#This Row],[one-year conditional mortality AT ISSUE]]/Table1[[#This Row],[one-year conditional persistency AT ISSUE]]</f>
        <v>10330577656.607809</v>
      </c>
      <c r="O146" s="4">
        <f>(1+$B$14)^(Table1[[#This Row],[age since issue]]-$A$17)</f>
        <v>84.587292336041273</v>
      </c>
      <c r="P146" s="5">
        <f>(Table1[[#This Row],[level premium unmarked-up]]*Table1[[#This Row],[unconditional persistency AT ISSUE]]-Table1[[#This Row],[Death benefit pay probability]])</f>
        <v>-1.1409753267063511E-303</v>
      </c>
      <c r="Q146" s="4">
        <f>Table1[[#This Row],[Issuer profit with unmarked-up level premium]]/Table1[[#This Row],[Issuer discounter at issue]]</f>
        <v>-1.3488732115618271E-305</v>
      </c>
      <c r="R146" s="4">
        <f>(Table1[[#This Row],[variable premium unmarked up]]*Table1[[#This Row],[unconditional persistency AT ISSUE]]-Table1[[#This Row],[Death benefit pay probability]])</f>
        <v>-1.1409753267063511E-303</v>
      </c>
      <c r="S146" s="6">
        <f>Table1[[#This Row],[level premium unmarked-up]]*(1+$B$15)</f>
        <v>1.9910109748700498E-3</v>
      </c>
      <c r="T146" s="6">
        <f>MIN(Table1[[#This Row],[variable premium unmarked up]]*(1+$B$15),1)</f>
        <v>1</v>
      </c>
      <c r="U146" s="6">
        <f>Table1[[#This Row],[level premium marked up]]-Table1[[#This Row],[variable premium marked up]]</f>
        <v>-0.99800898902512991</v>
      </c>
      <c r="V146" s="6">
        <f>Table1[[#This Row],[additional cash]]+V145*(1+$D$2)</f>
        <v>-53.776627172809789</v>
      </c>
      <c r="W146" s="12">
        <v>0.5</v>
      </c>
      <c r="X146" s="13">
        <f>1-Table1[[#This Row],[one-year conditional mortality NOW]]</f>
        <v>0.5</v>
      </c>
      <c r="Y146" s="49">
        <f>PRODUCT(X$17:X146)</f>
        <v>1.7949745262264075E-16</v>
      </c>
      <c r="Z146" s="13">
        <f>Table1[[#This Row],[one-year conditional survival NOW]]*(1-Table1[[#This Row],[Lapse rate]])</f>
        <v>0.48399999999999999</v>
      </c>
      <c r="AA146" s="13">
        <f>PRODUCT(Z$17:Z146)</f>
        <v>2.5984259802349059E-18</v>
      </c>
      <c r="AB146" s="50">
        <f>Y145*Table1[[#This Row],[one-year conditional mortality NOW]]</f>
        <v>1.7949745262264075E-16</v>
      </c>
      <c r="AC146" s="14">
        <v>1.9699999999999999E-2</v>
      </c>
      <c r="AD146" s="28">
        <f>(1+Table1[[#This Row],[Yield curve now]])^(Table1[[#This Row],[age since issue]]-$A$23)</f>
        <v>11.018121933341313</v>
      </c>
      <c r="AE146" s="46">
        <f t="shared" si="4"/>
        <v>40.700116697931463</v>
      </c>
      <c r="AF146" s="42">
        <f>1-Table1[[#This Row],[cumulative debt until t]]</f>
        <v>-39.700116697931463</v>
      </c>
      <c r="AG146" s="46">
        <f>Table1[[#This Row],[cumulative debt until t]]*Table1[[#This Row],[Unconditional mortality NOW]]/Table1[[#This Row],[discouter with yield curve]]</f>
        <v>6.6305013802905378E-16</v>
      </c>
      <c r="AH146" s="48">
        <f>Table1[[#This Row],[Unconditional mortality NOW]]/Table1[[#This Row],[discouter with yield curve]]</f>
        <v>1.6291111471499849E-17</v>
      </c>
      <c r="AI146" s="29">
        <f>Table1[[#This Row],[user profit (death benefit - debt)]]*Table1[[#This Row],[Unconditional mortality NOW]]/Table1[[#This Row],[discouter with yield curve]]</f>
        <v>-6.4675902655755405E-16</v>
      </c>
      <c r="AJ146" s="29">
        <f>(1+$D$4)^(Table1[[#This Row],[age since issue]]-$A$23)</f>
        <v>29230373.417303644</v>
      </c>
      <c r="AK146" s="57">
        <f>Table1[[#This Row],[level premium marked up]]*Table1[[#This Row],[unconditional survival NOW]]</f>
        <v>3.5738139813289452E-19</v>
      </c>
      <c r="AL146" s="62">
        <f>Table1[[#This Row],[cumulative debt until t]]*Table1[[#This Row],[Unconditional mortality NOW]]</f>
        <v>7.3055672687229026E-15</v>
      </c>
      <c r="AM146" s="47">
        <f>Table1[[#This Row],[probablistic premium stream]]/Table1[[#This Row],[lender discounter]]</f>
        <v>1.2226371282733383E-26</v>
      </c>
      <c r="AN146" s="58">
        <f>Table1[[#This Row],[probablistic repay from borrower]]/Table1[[#This Row],[lender discounter]]</f>
        <v>2.4993068560657492E-22</v>
      </c>
      <c r="AO146" s="47">
        <f>(Table1[[#This Row],[probablistic repay from borrower]]-Table1[[#This Row],[probablistic premium stream]])/Table1[[#This Row],[lender discounter]]</f>
        <v>2.4991845923529218E-22</v>
      </c>
      <c r="AP146" s="46">
        <f>AP145*(1+$D$4)+ Table1[[#This Row],[level premium marked up]]</f>
        <v>446184.60948933772</v>
      </c>
      <c r="AQ146" s="58">
        <f>AP146*Table1[[#This Row],[Unconditional mortality NOW]]</f>
        <v>8.0089000802763865E-11</v>
      </c>
      <c r="AR146" s="60">
        <f>Table1[[#This Row],[cumulative debt until t]]*Table1[[#This Row],[Unconditional mortality NOW]]</f>
        <v>7.3055672687229026E-15</v>
      </c>
      <c r="AS146" s="58">
        <f>Table1[[#This Row],[lender to pay cumulative probablistic undiscounted]]/Table1[[#This Row],[lender discounter]]</f>
        <v>2.7399239708430544E-18</v>
      </c>
    </row>
    <row r="147" spans="1:45" s="3" customFormat="1">
      <c r="A147" s="3">
        <v>151</v>
      </c>
      <c r="B147" s="8">
        <v>3.2000000000000001E-2</v>
      </c>
      <c r="C147" s="3">
        <v>0</v>
      </c>
      <c r="D147" s="8">
        <v>3.2000000000000001E-2</v>
      </c>
      <c r="E147" s="12">
        <v>0.99999999989999999</v>
      </c>
      <c r="F147" s="13">
        <f>1-Table1[[#This Row],[one-year conditional mortality AT ISSUE]]</f>
        <v>1.000000082740371E-10</v>
      </c>
      <c r="G147" s="13">
        <f>PRODUCT(F$17:F147)</f>
        <v>0</v>
      </c>
      <c r="H147" s="13">
        <f>Table1[[#This Row],[one-year conditional survival AT ISSUE]]*(1-Table1[[#This Row],[Lapse rate]])</f>
        <v>9.6800008009267909E-11</v>
      </c>
      <c r="I147" s="13">
        <f>PRODUCT(H$17:H147)</f>
        <v>0</v>
      </c>
      <c r="J147" s="13">
        <f>G146*Table1[[#This Row],[one-year conditional mortality AT ISSUE]]</f>
        <v>0</v>
      </c>
      <c r="K147" s="10">
        <f>I146*Table1[[#This Row],[one-year conditional mortality AT ISSUE]]</f>
        <v>0</v>
      </c>
      <c r="L147" s="3">
        <f t="shared" si="6"/>
        <v>1.9910109748700498E-3</v>
      </c>
      <c r="M147" s="44">
        <v>1</v>
      </c>
      <c r="N147" s="44">
        <f>Table1[[#This Row],[one-year conditional mortality AT ISSUE]]/Table1[[#This Row],[one-year conditional persistency AT ISSUE]]</f>
        <v>10330577656.607809</v>
      </c>
      <c r="O147" s="4">
        <f>(1+$B$14)^(Table1[[#This Row],[age since issue]]-$A$17)</f>
        <v>87.547847567802705</v>
      </c>
      <c r="P147" s="5">
        <f>(Table1[[#This Row],[level premium unmarked-up]]*Table1[[#This Row],[unconditional persistency AT ISSUE]]-Table1[[#This Row],[Death benefit pay probability]])</f>
        <v>0</v>
      </c>
      <c r="Q147" s="4">
        <f>Table1[[#This Row],[Issuer profit with unmarked-up level premium]]/Table1[[#This Row],[Issuer discounter at issue]]</f>
        <v>0</v>
      </c>
      <c r="R147" s="4">
        <f>(Table1[[#This Row],[variable premium unmarked up]]*Table1[[#This Row],[unconditional persistency AT ISSUE]]-Table1[[#This Row],[Death benefit pay probability]])</f>
        <v>0</v>
      </c>
      <c r="S147" s="6">
        <f>Table1[[#This Row],[level premium unmarked-up]]*(1+$B$15)</f>
        <v>1.9910109748700498E-3</v>
      </c>
      <c r="T147" s="6">
        <f>MIN(Table1[[#This Row],[variable premium unmarked up]]*(1+$B$15),1)</f>
        <v>1</v>
      </c>
      <c r="U147" s="6">
        <f>Table1[[#This Row],[level premium marked up]]-Table1[[#This Row],[variable premium marked up]]</f>
        <v>-0.99800898902512991</v>
      </c>
      <c r="V147" s="6">
        <f>Table1[[#This Row],[additional cash]]+V146*(1+$D$2)</f>
        <v>-54.828412789007722</v>
      </c>
      <c r="W147" s="12">
        <v>0.5</v>
      </c>
      <c r="X147" s="13">
        <f>1-Table1[[#This Row],[one-year conditional mortality NOW]]</f>
        <v>0.5</v>
      </c>
      <c r="Y147" s="49">
        <f>PRODUCT(X$17:X147)</f>
        <v>8.9748726311320376E-17</v>
      </c>
      <c r="Z147" s="13">
        <f>Table1[[#This Row],[one-year conditional survival NOW]]*(1-Table1[[#This Row],[Lapse rate]])</f>
        <v>0.48399999999999999</v>
      </c>
      <c r="AA147" s="13">
        <f>PRODUCT(Z$17:Z147)</f>
        <v>1.2576381744336944E-18</v>
      </c>
      <c r="AB147" s="50">
        <f>Y146*Table1[[#This Row],[one-year conditional mortality NOW]]</f>
        <v>8.9748726311320376E-17</v>
      </c>
      <c r="AC147" s="14">
        <v>1.9699999999999999E-2</v>
      </c>
      <c r="AD147" s="28">
        <f>(1+Table1[[#This Row],[Yield curve now]])^(Table1[[#This Row],[age since issue]]-$A$23)</f>
        <v>11.235178935428138</v>
      </c>
      <c r="AE147" s="46">
        <f t="shared" si="4"/>
        <v>43.098531064739085</v>
      </c>
      <c r="AF147" s="42">
        <f>1-Table1[[#This Row],[cumulative debt until t]]</f>
        <v>-42.098531064739085</v>
      </c>
      <c r="AG147" s="46">
        <f>Table1[[#This Row],[cumulative debt until t]]*Table1[[#This Row],[Unconditional mortality NOW]]/Table1[[#This Row],[discouter with yield curve]]</f>
        <v>3.4427918693417837E-16</v>
      </c>
      <c r="AH147" s="48">
        <f>Table1[[#This Row],[Unconditional mortality NOW]]/Table1[[#This Row],[discouter with yield curve]]</f>
        <v>7.988188423801043E-18</v>
      </c>
      <c r="AI147" s="29">
        <f>Table1[[#This Row],[user profit (death benefit - debt)]]*Table1[[#This Row],[Unconditional mortality NOW]]/Table1[[#This Row],[discouter with yield curve]]</f>
        <v>-3.3629099851037739E-16</v>
      </c>
      <c r="AJ147" s="29">
        <f>(1+$D$4)^(Table1[[#This Row],[age since issue]]-$A$23)</f>
        <v>33614929.429899186</v>
      </c>
      <c r="AK147" s="57">
        <f>Table1[[#This Row],[level premium marked up]]*Table1[[#This Row],[unconditional survival NOW]]</f>
        <v>1.7869069906644726E-19</v>
      </c>
      <c r="AL147" s="62">
        <f>Table1[[#This Row],[cumulative debt until t]]*Table1[[#This Row],[Unconditional mortality NOW]]</f>
        <v>3.8680382689492073E-15</v>
      </c>
      <c r="AM147" s="47">
        <f>Table1[[#This Row],[probablistic premium stream]]/Table1[[#This Row],[lender discounter]]</f>
        <v>5.3158136011884283E-27</v>
      </c>
      <c r="AN147" s="58">
        <f>Table1[[#This Row],[probablistic repay from borrower]]/Table1[[#This Row],[lender discounter]]</f>
        <v>1.1506905814024217E-22</v>
      </c>
      <c r="AO147" s="47">
        <f>(Table1[[#This Row],[probablistic repay from borrower]]-Table1[[#This Row],[probablistic premium stream]])/Table1[[#This Row],[lender discounter]]</f>
        <v>1.1506374232664099E-22</v>
      </c>
      <c r="AP147" s="46">
        <f>AP146*(1+$D$4)+ Table1[[#This Row],[level premium marked up]]</f>
        <v>513112.30290374928</v>
      </c>
      <c r="AQ147" s="58">
        <f>AP147*Table1[[#This Row],[Unconditional mortality NOW]]</f>
        <v>4.6051175640279914E-11</v>
      </c>
      <c r="AR147" s="60">
        <f>Table1[[#This Row],[cumulative debt until t]]*Table1[[#This Row],[Unconditional mortality NOW]]</f>
        <v>3.8680382689492073E-15</v>
      </c>
      <c r="AS147" s="58">
        <f>Table1[[#This Row],[lender to pay cumulative probablistic undiscounted]]/Table1[[#This Row],[lender discounter]]</f>
        <v>1.3699619907373407E-18</v>
      </c>
    </row>
    <row r="148" spans="1:45" s="3" customFormat="1">
      <c r="A148" s="3">
        <v>152</v>
      </c>
      <c r="B148" s="8">
        <v>3.2000000000000001E-2</v>
      </c>
      <c r="C148" s="3">
        <v>0</v>
      </c>
      <c r="D148" s="8">
        <v>3.2000000000000001E-2</v>
      </c>
      <c r="E148" s="12">
        <v>0.99999999989999999</v>
      </c>
      <c r="F148" s="13">
        <f>1-Table1[[#This Row],[one-year conditional mortality AT ISSUE]]</f>
        <v>1.000000082740371E-10</v>
      </c>
      <c r="G148" s="13">
        <f>PRODUCT(F$17:F148)</f>
        <v>0</v>
      </c>
      <c r="H148" s="13">
        <f>Table1[[#This Row],[one-year conditional survival AT ISSUE]]*(1-Table1[[#This Row],[Lapse rate]])</f>
        <v>9.6800008009267909E-11</v>
      </c>
      <c r="I148" s="13">
        <f>PRODUCT(H$17:H148)</f>
        <v>0</v>
      </c>
      <c r="J148" s="13">
        <f>G147*Table1[[#This Row],[one-year conditional mortality AT ISSUE]]</f>
        <v>0</v>
      </c>
      <c r="K148" s="10">
        <f>I147*Table1[[#This Row],[one-year conditional mortality AT ISSUE]]</f>
        <v>0</v>
      </c>
      <c r="L148" s="3">
        <f t="shared" si="6"/>
        <v>1.9910109748700498E-3</v>
      </c>
      <c r="M148" s="44">
        <v>1</v>
      </c>
      <c r="N148" s="44">
        <f>Table1[[#This Row],[one-year conditional mortality AT ISSUE]]/Table1[[#This Row],[one-year conditional persistency AT ISSUE]]</f>
        <v>10330577656.607809</v>
      </c>
      <c r="O148" s="4">
        <f>(1+$B$14)^(Table1[[#This Row],[age since issue]]-$A$17)</f>
        <v>90.612022232675798</v>
      </c>
      <c r="P148" s="5">
        <f>(Table1[[#This Row],[level premium unmarked-up]]*Table1[[#This Row],[unconditional persistency AT ISSUE]]-Table1[[#This Row],[Death benefit pay probability]])</f>
        <v>0</v>
      </c>
      <c r="Q148" s="4">
        <f>Table1[[#This Row],[Issuer profit with unmarked-up level premium]]/Table1[[#This Row],[Issuer discounter at issue]]</f>
        <v>0</v>
      </c>
      <c r="R148" s="4">
        <f>(Table1[[#This Row],[variable premium unmarked up]]*Table1[[#This Row],[unconditional persistency AT ISSUE]]-Table1[[#This Row],[Death benefit pay probability]])</f>
        <v>0</v>
      </c>
      <c r="S148" s="6">
        <f>Table1[[#This Row],[level premium unmarked-up]]*(1+$B$15)</f>
        <v>1.9910109748700498E-3</v>
      </c>
      <c r="T148" s="6">
        <f>MIN(Table1[[#This Row],[variable premium unmarked up]]*(1+$B$15),1)</f>
        <v>1</v>
      </c>
      <c r="U148" s="6">
        <f>Table1[[#This Row],[level premium marked up]]-Table1[[#This Row],[variable premium marked up]]</f>
        <v>-0.99800898902512991</v>
      </c>
      <c r="V148" s="6">
        <f>Table1[[#This Row],[additional cash]]+V147*(1+$D$2)</f>
        <v>-55.881250190821852</v>
      </c>
      <c r="W148" s="12">
        <v>0.5</v>
      </c>
      <c r="X148" s="13">
        <f>1-Table1[[#This Row],[one-year conditional mortality NOW]]</f>
        <v>0.5</v>
      </c>
      <c r="Y148" s="49">
        <f>PRODUCT(X$17:X148)</f>
        <v>4.4874363155660188E-17</v>
      </c>
      <c r="Z148" s="13">
        <f>Table1[[#This Row],[one-year conditional survival NOW]]*(1-Table1[[#This Row],[Lapse rate]])</f>
        <v>0.48399999999999999</v>
      </c>
      <c r="AA148" s="13">
        <f>PRODUCT(Z$17:Z148)</f>
        <v>6.0869687642590804E-19</v>
      </c>
      <c r="AB148" s="50">
        <f>Y147*Table1[[#This Row],[one-year conditional mortality NOW]]</f>
        <v>4.4874363155660188E-17</v>
      </c>
      <c r="AC148" s="14">
        <v>1.9699999999999999E-2</v>
      </c>
      <c r="AD148" s="28">
        <f>(1+Table1[[#This Row],[Yield curve now]])^(Table1[[#This Row],[age since issue]]-$A$23)</f>
        <v>11.456511960456071</v>
      </c>
      <c r="AE148" s="46">
        <f t="shared" si="4"/>
        <v>45.638157190079909</v>
      </c>
      <c r="AF148" s="42">
        <f>1-Table1[[#This Row],[cumulative debt until t]]</f>
        <v>-44.638157190079909</v>
      </c>
      <c r="AG148" s="46">
        <f>Table1[[#This Row],[cumulative debt until t]]*Table1[[#This Row],[Unconditional mortality NOW]]/Table1[[#This Row],[discouter with yield curve]]</f>
        <v>1.7876149796479783E-16</v>
      </c>
      <c r="AH148" s="48">
        <f>Table1[[#This Row],[Unconditional mortality NOW]]/Table1[[#This Row],[discouter with yield curve]]</f>
        <v>3.9169306775527327E-18</v>
      </c>
      <c r="AI148" s="29">
        <f>Table1[[#This Row],[user profit (death benefit - debt)]]*Table1[[#This Row],[Unconditional mortality NOW]]/Table1[[#This Row],[discouter with yield curve]]</f>
        <v>-1.7484456728724509E-16</v>
      </c>
      <c r="AJ148" s="29">
        <f>(1+$D$4)^(Table1[[#This Row],[age since issue]]-$A$23)</f>
        <v>38657168.844384067</v>
      </c>
      <c r="AK148" s="57">
        <f>Table1[[#This Row],[level premium marked up]]*Table1[[#This Row],[unconditional survival NOW]]</f>
        <v>8.9345349533223631E-20</v>
      </c>
      <c r="AL148" s="62">
        <f>Table1[[#This Row],[cumulative debt until t]]*Table1[[#This Row],[Unconditional mortality NOW]]</f>
        <v>2.0479832395027498E-15</v>
      </c>
      <c r="AM148" s="47">
        <f>Table1[[#This Row],[probablistic premium stream]]/Table1[[#This Row],[lender discounter]]</f>
        <v>2.3112233048645339E-27</v>
      </c>
      <c r="AN148" s="58">
        <f>Table1[[#This Row],[probablistic repay from borrower]]/Table1[[#This Row],[lender discounter]]</f>
        <v>5.297809696687788E-23</v>
      </c>
      <c r="AO148" s="47">
        <f>(Table1[[#This Row],[probablistic repay from borrower]]-Table1[[#This Row],[probablistic premium stream]])/Table1[[#This Row],[lender discounter]]</f>
        <v>5.2975785743573022E-23</v>
      </c>
      <c r="AP148" s="46">
        <f>AP147*(1+$D$4)+ Table1[[#This Row],[level premium marked up]]</f>
        <v>590079.15033032256</v>
      </c>
      <c r="AQ148" s="58">
        <f>AP148*Table1[[#This Row],[Unconditional mortality NOW]]</f>
        <v>2.6479426082506297E-11</v>
      </c>
      <c r="AR148" s="60">
        <f>Table1[[#This Row],[cumulative debt until t]]*Table1[[#This Row],[Unconditional mortality NOW]]</f>
        <v>2.0479832395027498E-15</v>
      </c>
      <c r="AS148" s="58">
        <f>Table1[[#This Row],[lender to pay cumulative probablistic undiscounted]]/Table1[[#This Row],[lender discounter]]</f>
        <v>6.8498099767989358E-19</v>
      </c>
    </row>
    <row r="149" spans="1:45" s="3" customFormat="1">
      <c r="A149" s="3">
        <v>153</v>
      </c>
      <c r="B149" s="8">
        <v>3.2000000000000001E-2</v>
      </c>
      <c r="C149" s="3">
        <v>0</v>
      </c>
      <c r="D149" s="8">
        <v>3.2000000000000001E-2</v>
      </c>
      <c r="E149" s="12">
        <v>0.99999999989999999</v>
      </c>
      <c r="F149" s="13">
        <f>1-Table1[[#This Row],[one-year conditional mortality AT ISSUE]]</f>
        <v>1.000000082740371E-10</v>
      </c>
      <c r="G149" s="13">
        <f>PRODUCT(F$17:F149)</f>
        <v>0</v>
      </c>
      <c r="H149" s="13">
        <f>Table1[[#This Row],[one-year conditional survival AT ISSUE]]*(1-Table1[[#This Row],[Lapse rate]])</f>
        <v>9.6800008009267909E-11</v>
      </c>
      <c r="I149" s="13">
        <f>PRODUCT(H$17:H149)</f>
        <v>0</v>
      </c>
      <c r="J149" s="13">
        <f>G148*Table1[[#This Row],[one-year conditional mortality AT ISSUE]]</f>
        <v>0</v>
      </c>
      <c r="K149" s="10">
        <f>I148*Table1[[#This Row],[one-year conditional mortality AT ISSUE]]</f>
        <v>0</v>
      </c>
      <c r="L149" s="3">
        <f t="shared" si="6"/>
        <v>1.9910109748700498E-3</v>
      </c>
      <c r="M149" s="44">
        <v>1</v>
      </c>
      <c r="N149" s="44">
        <f>Table1[[#This Row],[one-year conditional mortality AT ISSUE]]/Table1[[#This Row],[one-year conditional persistency AT ISSUE]]</f>
        <v>10330577656.607809</v>
      </c>
      <c r="O149" s="4">
        <f>(1+$B$14)^(Table1[[#This Row],[age since issue]]-$A$17)</f>
        <v>93.78344301081944</v>
      </c>
      <c r="P149" s="5">
        <f>(Table1[[#This Row],[level premium unmarked-up]]*Table1[[#This Row],[unconditional persistency AT ISSUE]]-Table1[[#This Row],[Death benefit pay probability]])</f>
        <v>0</v>
      </c>
      <c r="Q149" s="4">
        <f>Table1[[#This Row],[Issuer profit with unmarked-up level premium]]/Table1[[#This Row],[Issuer discounter at issue]]</f>
        <v>0</v>
      </c>
      <c r="R149" s="4">
        <f>(Table1[[#This Row],[variable premium unmarked up]]*Table1[[#This Row],[unconditional persistency AT ISSUE]]-Table1[[#This Row],[Death benefit pay probability]])</f>
        <v>0</v>
      </c>
      <c r="S149" s="6">
        <f>Table1[[#This Row],[level premium unmarked-up]]*(1+$B$15)</f>
        <v>1.9910109748700498E-3</v>
      </c>
      <c r="T149" s="6">
        <f>MIN(Table1[[#This Row],[variable premium unmarked up]]*(1+$B$15),1)</f>
        <v>1</v>
      </c>
      <c r="U149" s="6">
        <f>Table1[[#This Row],[level premium marked up]]-Table1[[#This Row],[variable premium marked up]]</f>
        <v>-0.99800898902512991</v>
      </c>
      <c r="V149" s="6">
        <f>Table1[[#This Row],[additional cash]]+V148*(1+$D$2)</f>
        <v>-56.935140430037798</v>
      </c>
      <c r="W149" s="12">
        <v>0.5</v>
      </c>
      <c r="X149" s="13">
        <f>1-Table1[[#This Row],[one-year conditional mortality NOW]]</f>
        <v>0.5</v>
      </c>
      <c r="Y149" s="49">
        <f>PRODUCT(X$17:X149)</f>
        <v>2.2437181577830094E-17</v>
      </c>
      <c r="Z149" s="13">
        <f>Table1[[#This Row],[one-year conditional survival NOW]]*(1-Table1[[#This Row],[Lapse rate]])</f>
        <v>0.48399999999999999</v>
      </c>
      <c r="AA149" s="13">
        <f>PRODUCT(Z$17:Z149)</f>
        <v>2.946092881901395E-19</v>
      </c>
      <c r="AB149" s="50">
        <f>Y148*Table1[[#This Row],[one-year conditional mortality NOW]]</f>
        <v>2.2437181577830094E-17</v>
      </c>
      <c r="AC149" s="14">
        <v>1.9699999999999999E-2</v>
      </c>
      <c r="AD149" s="28">
        <f>(1+Table1[[#This Row],[Yield curve now]])^(Table1[[#This Row],[age since issue]]-$A$23)</f>
        <v>11.682205246077057</v>
      </c>
      <c r="AE149" s="46">
        <f t="shared" si="4"/>
        <v>48.327309217257955</v>
      </c>
      <c r="AF149" s="42">
        <f>1-Table1[[#This Row],[cumulative debt until t]]</f>
        <v>-47.327309217257955</v>
      </c>
      <c r="AG149" s="46">
        <f>Table1[[#This Row],[cumulative debt until t]]*Table1[[#This Row],[Unconditional mortality NOW]]/Table1[[#This Row],[discouter with yield curve]]</f>
        <v>9.2818829085346002E-17</v>
      </c>
      <c r="AH149" s="48">
        <f>Table1[[#This Row],[Unconditional mortality NOW]]/Table1[[#This Row],[discouter with yield curve]]</f>
        <v>1.9206289484910916E-18</v>
      </c>
      <c r="AI149" s="29">
        <f>Table1[[#This Row],[user profit (death benefit - debt)]]*Table1[[#This Row],[Unconditional mortality NOW]]/Table1[[#This Row],[discouter with yield curve]]</f>
        <v>-9.0898200136854892E-17</v>
      </c>
      <c r="AJ149" s="29">
        <f>(1+$D$4)^(Table1[[#This Row],[age since issue]]-$A$23)</f>
        <v>44455744.171041675</v>
      </c>
      <c r="AK149" s="57">
        <f>Table1[[#This Row],[level premium marked up]]*Table1[[#This Row],[unconditional survival NOW]]</f>
        <v>4.4672674766611816E-20</v>
      </c>
      <c r="AL149" s="62">
        <f>Table1[[#This Row],[cumulative debt until t]]*Table1[[#This Row],[Unconditional mortality NOW]]</f>
        <v>1.0843286120755588E-15</v>
      </c>
      <c r="AM149" s="47">
        <f>Table1[[#This Row],[probablistic premium stream]]/Table1[[#This Row],[lender discounter]]</f>
        <v>1.0048796977671886E-27</v>
      </c>
      <c r="AN149" s="58">
        <f>Table1[[#This Row],[probablistic repay from borrower]]/Table1[[#This Row],[lender discounter]]</f>
        <v>2.4391192461060788E-23</v>
      </c>
      <c r="AO149" s="47">
        <f>(Table1[[#This Row],[probablistic repay from borrower]]-Table1[[#This Row],[probablistic premium stream]])/Table1[[#This Row],[lender discounter]]</f>
        <v>2.4390187581363021E-23</v>
      </c>
      <c r="AP149" s="46">
        <f>AP148*(1+$D$4)+ Table1[[#This Row],[level premium marked up]]</f>
        <v>678591.02487088181</v>
      </c>
      <c r="AQ149" s="58">
        <f>AP149*Table1[[#This Row],[Unconditional mortality NOW]]</f>
        <v>1.5225670042113791E-11</v>
      </c>
      <c r="AR149" s="60">
        <f>Table1[[#This Row],[cumulative debt until t]]*Table1[[#This Row],[Unconditional mortality NOW]]</f>
        <v>1.0843286120755588E-15</v>
      </c>
      <c r="AS149" s="58">
        <f>Table1[[#This Row],[lender to pay cumulative probablistic undiscounted]]/Table1[[#This Row],[lender discounter]]</f>
        <v>3.424904998448264E-19</v>
      </c>
    </row>
    <row r="150" spans="1:45" s="3" customFormat="1">
      <c r="A150" s="3">
        <v>154</v>
      </c>
      <c r="B150" s="8">
        <v>3.2000000000000001E-2</v>
      </c>
      <c r="C150" s="3">
        <v>0</v>
      </c>
      <c r="D150" s="8">
        <v>3.2000000000000001E-2</v>
      </c>
      <c r="E150" s="12">
        <v>0.99999999989999999</v>
      </c>
      <c r="F150" s="13">
        <f>1-Table1[[#This Row],[one-year conditional mortality AT ISSUE]]</f>
        <v>1.000000082740371E-10</v>
      </c>
      <c r="G150" s="13">
        <f>PRODUCT(F$17:F150)</f>
        <v>0</v>
      </c>
      <c r="H150" s="13">
        <f>Table1[[#This Row],[one-year conditional survival AT ISSUE]]*(1-Table1[[#This Row],[Lapse rate]])</f>
        <v>9.6800008009267909E-11</v>
      </c>
      <c r="I150" s="13">
        <f>PRODUCT(H$17:H150)</f>
        <v>0</v>
      </c>
      <c r="J150" s="13">
        <f>G149*Table1[[#This Row],[one-year conditional mortality AT ISSUE]]</f>
        <v>0</v>
      </c>
      <c r="K150" s="10">
        <f>I149*Table1[[#This Row],[one-year conditional mortality AT ISSUE]]</f>
        <v>0</v>
      </c>
      <c r="L150" s="3">
        <f t="shared" si="6"/>
        <v>1.9910109748700498E-3</v>
      </c>
      <c r="M150" s="44">
        <v>1</v>
      </c>
      <c r="N150" s="44">
        <f>Table1[[#This Row],[one-year conditional mortality AT ISSUE]]/Table1[[#This Row],[one-year conditional persistency AT ISSUE]]</f>
        <v>10330577656.607809</v>
      </c>
      <c r="O150" s="4">
        <f>(1+$B$14)^(Table1[[#This Row],[age since issue]]-$A$17)</f>
        <v>97.065863516198107</v>
      </c>
      <c r="P150" s="5">
        <f>(Table1[[#This Row],[level premium unmarked-up]]*Table1[[#This Row],[unconditional persistency AT ISSUE]]-Table1[[#This Row],[Death benefit pay probability]])</f>
        <v>0</v>
      </c>
      <c r="Q150" s="4">
        <f>Table1[[#This Row],[Issuer profit with unmarked-up level premium]]/Table1[[#This Row],[Issuer discounter at issue]]</f>
        <v>0</v>
      </c>
      <c r="R150" s="4">
        <f>(Table1[[#This Row],[variable premium unmarked up]]*Table1[[#This Row],[unconditional persistency AT ISSUE]]-Table1[[#This Row],[Death benefit pay probability]])</f>
        <v>0</v>
      </c>
      <c r="S150" s="6">
        <f>Table1[[#This Row],[level premium unmarked-up]]*(1+$B$15)</f>
        <v>1.9910109748700498E-3</v>
      </c>
      <c r="T150" s="6">
        <f>MIN(Table1[[#This Row],[variable premium unmarked up]]*(1+$B$15),1)</f>
        <v>1</v>
      </c>
      <c r="U150" s="6">
        <f>Table1[[#This Row],[level premium marked up]]-Table1[[#This Row],[variable premium marked up]]</f>
        <v>-0.99800898902512991</v>
      </c>
      <c r="V150" s="6">
        <f>Table1[[#This Row],[additional cash]]+V149*(1+$D$2)</f>
        <v>-57.990084559492963</v>
      </c>
      <c r="W150" s="12">
        <v>0.5</v>
      </c>
      <c r="X150" s="13">
        <f>1-Table1[[#This Row],[one-year conditional mortality NOW]]</f>
        <v>0.5</v>
      </c>
      <c r="Y150" s="49">
        <f>PRODUCT(X$17:X150)</f>
        <v>1.1218590788915047E-17</v>
      </c>
      <c r="Z150" s="13">
        <f>Table1[[#This Row],[one-year conditional survival NOW]]*(1-Table1[[#This Row],[Lapse rate]])</f>
        <v>0.48399999999999999</v>
      </c>
      <c r="AA150" s="13">
        <f>PRODUCT(Z$17:Z150)</f>
        <v>1.4259089548402751E-19</v>
      </c>
      <c r="AB150" s="50">
        <f>Y149*Table1[[#This Row],[one-year conditional mortality NOW]]</f>
        <v>1.1218590788915047E-17</v>
      </c>
      <c r="AC150" s="14">
        <v>1.9699999999999999E-2</v>
      </c>
      <c r="AD150" s="28">
        <f>(1+Table1[[#This Row],[Yield curve now]])^(Table1[[#This Row],[age since issue]]-$A$23)</f>
        <v>11.912344689424774</v>
      </c>
      <c r="AE150" s="46">
        <f t="shared" si="4"/>
        <v>51.174790802487472</v>
      </c>
      <c r="AF150" s="42">
        <f>1-Table1[[#This Row],[cumulative debt until t]]</f>
        <v>-50.174790802487472</v>
      </c>
      <c r="AG150" s="46">
        <f>Table1[[#This Row],[cumulative debt until t]]*Table1[[#This Row],[Unconditional mortality NOW]]/Table1[[#This Row],[discouter with yield curve]]</f>
        <v>4.8194461433869331E-17</v>
      </c>
      <c r="AH150" s="48">
        <f>Table1[[#This Row],[Unconditional mortality NOW]]/Table1[[#This Row],[discouter with yield curve]]</f>
        <v>9.4176176742722956E-19</v>
      </c>
      <c r="AI150" s="29">
        <f>Table1[[#This Row],[user profit (death benefit - debt)]]*Table1[[#This Row],[Unconditional mortality NOW]]/Table1[[#This Row],[discouter with yield curve]]</f>
        <v>-4.7252699666442102E-17</v>
      </c>
      <c r="AJ150" s="29">
        <f>(1+$D$4)^(Table1[[#This Row],[age since issue]]-$A$23)</f>
        <v>51124105.796697915</v>
      </c>
      <c r="AK150" s="57">
        <f>Table1[[#This Row],[level premium marked up]]*Table1[[#This Row],[unconditional survival NOW]]</f>
        <v>2.2336337383305908E-20</v>
      </c>
      <c r="AL150" s="62">
        <f>Table1[[#This Row],[cumulative debt until t]]*Table1[[#This Row],[Unconditional mortality NOW]]</f>
        <v>5.7410903672144039E-16</v>
      </c>
      <c r="AM150" s="47">
        <f>Table1[[#This Row],[probablistic premium stream]]/Table1[[#This Row],[lender discounter]]</f>
        <v>4.3690421642051688E-28</v>
      </c>
      <c r="AN150" s="58">
        <f>Table1[[#This Row],[probablistic repay from borrower]]/Table1[[#This Row],[lender discounter]]</f>
        <v>1.1229713024311162E-23</v>
      </c>
      <c r="AO150" s="47">
        <f>(Table1[[#This Row],[probablistic repay from borrower]]-Table1[[#This Row],[probablistic premium stream]])/Table1[[#This Row],[lender discounter]]</f>
        <v>1.1229276120094741E-23</v>
      </c>
      <c r="AP150" s="46">
        <f>AP149*(1+$D$4)+ Table1[[#This Row],[level premium marked up]]</f>
        <v>780379.68059252494</v>
      </c>
      <c r="AQ150" s="58">
        <f>AP150*Table1[[#This Row],[Unconditional mortality NOW]]</f>
        <v>8.7547602965517671E-12</v>
      </c>
      <c r="AR150" s="60">
        <f>Table1[[#This Row],[cumulative debt until t]]*Table1[[#This Row],[Unconditional mortality NOW]]</f>
        <v>5.7410903672144039E-16</v>
      </c>
      <c r="AS150" s="58">
        <f>Table1[[#This Row],[lender to pay cumulative probablistic undiscounted]]/Table1[[#This Row],[lender discounter]]</f>
        <v>1.7124525035931746E-19</v>
      </c>
    </row>
    <row r="151" spans="1:45" s="3" customFormat="1">
      <c r="A151" s="3">
        <v>155</v>
      </c>
      <c r="B151" s="8">
        <v>3.2000000000000001E-2</v>
      </c>
      <c r="C151" s="3">
        <v>0</v>
      </c>
      <c r="D151" s="8">
        <v>3.2000000000000001E-2</v>
      </c>
      <c r="E151" s="12">
        <v>0.99999999989999999</v>
      </c>
      <c r="F151" s="13">
        <f>1-Table1[[#This Row],[one-year conditional mortality AT ISSUE]]</f>
        <v>1.000000082740371E-10</v>
      </c>
      <c r="G151" s="13">
        <f>PRODUCT(F$17:F151)</f>
        <v>0</v>
      </c>
      <c r="H151" s="13">
        <f>Table1[[#This Row],[one-year conditional survival AT ISSUE]]*(1-Table1[[#This Row],[Lapse rate]])</f>
        <v>9.6800008009267909E-11</v>
      </c>
      <c r="I151" s="13">
        <f>PRODUCT(H$17:H151)</f>
        <v>0</v>
      </c>
      <c r="J151" s="13">
        <f>G150*Table1[[#This Row],[one-year conditional mortality AT ISSUE]]</f>
        <v>0</v>
      </c>
      <c r="K151" s="10">
        <f>I150*Table1[[#This Row],[one-year conditional mortality AT ISSUE]]</f>
        <v>0</v>
      </c>
      <c r="L151" s="3">
        <f t="shared" si="6"/>
        <v>1.9910109748700498E-3</v>
      </c>
      <c r="M151" s="44">
        <v>1</v>
      </c>
      <c r="N151" s="44">
        <f>Table1[[#This Row],[one-year conditional mortality AT ISSUE]]/Table1[[#This Row],[one-year conditional persistency AT ISSUE]]</f>
        <v>10330577656.607809</v>
      </c>
      <c r="O151" s="4">
        <f>(1+$B$14)^(Table1[[#This Row],[age since issue]]-$A$17)</f>
        <v>100.46316873926504</v>
      </c>
      <c r="P151" s="5">
        <f>(Table1[[#This Row],[level premium unmarked-up]]*Table1[[#This Row],[unconditional persistency AT ISSUE]]-Table1[[#This Row],[Death benefit pay probability]])</f>
        <v>0</v>
      </c>
      <c r="Q151" s="4">
        <f>Table1[[#This Row],[Issuer profit with unmarked-up level premium]]/Table1[[#This Row],[Issuer discounter at issue]]</f>
        <v>0</v>
      </c>
      <c r="R151" s="4">
        <f>(Table1[[#This Row],[variable premium unmarked up]]*Table1[[#This Row],[unconditional persistency AT ISSUE]]-Table1[[#This Row],[Death benefit pay probability]])</f>
        <v>0</v>
      </c>
      <c r="S151" s="6">
        <f>Table1[[#This Row],[level premium unmarked-up]]*(1+$B$15)</f>
        <v>1.9910109748700498E-3</v>
      </c>
      <c r="T151" s="6">
        <f>MIN(Table1[[#This Row],[variable premium unmarked up]]*(1+$B$15),1)</f>
        <v>1</v>
      </c>
      <c r="U151" s="6">
        <f>Table1[[#This Row],[level premium marked up]]-Table1[[#This Row],[variable premium marked up]]</f>
        <v>-0.99800898902512991</v>
      </c>
      <c r="V151" s="6">
        <f>Table1[[#This Row],[additional cash]]+V150*(1+$D$2)</f>
        <v>-59.046083633077579</v>
      </c>
      <c r="W151" s="12">
        <v>0.5</v>
      </c>
      <c r="X151" s="13">
        <f>1-Table1[[#This Row],[one-year conditional mortality NOW]]</f>
        <v>0.5</v>
      </c>
      <c r="Y151" s="49">
        <f>PRODUCT(X$17:X151)</f>
        <v>5.6092953944575235E-18</v>
      </c>
      <c r="Z151" s="13">
        <f>Table1[[#This Row],[one-year conditional survival NOW]]*(1-Table1[[#This Row],[Lapse rate]])</f>
        <v>0.48399999999999999</v>
      </c>
      <c r="AA151" s="13">
        <f>PRODUCT(Z$17:Z151)</f>
        <v>6.901399341426932E-20</v>
      </c>
      <c r="AB151" s="50">
        <f>Y150*Table1[[#This Row],[one-year conditional mortality NOW]]</f>
        <v>5.6092953944575235E-18</v>
      </c>
      <c r="AC151" s="14">
        <v>1.9699999999999999E-2</v>
      </c>
      <c r="AD151" s="28">
        <f>(1+Table1[[#This Row],[Yield curve now]])^(Table1[[#This Row],[age since issue]]-$A$23)</f>
        <v>12.147017879806443</v>
      </c>
      <c r="AE151" s="46">
        <f t="shared" si="4"/>
        <v>54.189923936009031</v>
      </c>
      <c r="AF151" s="42">
        <f>1-Table1[[#This Row],[cumulative debt until t]]</f>
        <v>-53.189923936009031</v>
      </c>
      <c r="AG151" s="46">
        <f>Table1[[#This Row],[cumulative debt until t]]*Table1[[#This Row],[Unconditional mortality NOW]]/Table1[[#This Row],[discouter with yield curve]]</f>
        <v>2.502402595995047E-17</v>
      </c>
      <c r="AH151" s="48">
        <f>Table1[[#This Row],[Unconditional mortality NOW]]/Table1[[#This Row],[discouter with yield curve]]</f>
        <v>4.6178374395764908E-19</v>
      </c>
      <c r="AI151" s="29">
        <f>Table1[[#This Row],[user profit (death benefit - debt)]]*Table1[[#This Row],[Unconditional mortality NOW]]/Table1[[#This Row],[discouter with yield curve]]</f>
        <v>-2.4562242215992823E-17</v>
      </c>
      <c r="AJ151" s="29">
        <f>(1+$D$4)^(Table1[[#This Row],[age since issue]]-$A$23)</f>
        <v>58792721.666202582</v>
      </c>
      <c r="AK151" s="57">
        <f>Table1[[#This Row],[level premium marked up]]*Table1[[#This Row],[unconditional survival NOW]]</f>
        <v>1.1168168691652954E-20</v>
      </c>
      <c r="AL151" s="62">
        <f>Table1[[#This Row],[cumulative debt until t]]*Table1[[#This Row],[Unconditional mortality NOW]]</f>
        <v>3.0396729076025896E-16</v>
      </c>
      <c r="AM151" s="47">
        <f>Table1[[#This Row],[probablistic premium stream]]/Table1[[#This Row],[lender discounter]]</f>
        <v>1.8995835496544218E-28</v>
      </c>
      <c r="AN151" s="58">
        <f>Table1[[#This Row],[probablistic repay from borrower]]/Table1[[#This Row],[lender discounter]]</f>
        <v>5.1701517151398816E-24</v>
      </c>
      <c r="AO151" s="47">
        <f>(Table1[[#This Row],[probablistic repay from borrower]]-Table1[[#This Row],[probablistic premium stream]])/Table1[[#This Row],[lender discounter]]</f>
        <v>5.1699617567849163E-24</v>
      </c>
      <c r="AP151" s="46">
        <f>AP150*(1+$D$4)+ Table1[[#This Row],[level premium marked up]]</f>
        <v>897436.63467241463</v>
      </c>
      <c r="AQ151" s="58">
        <f>AP151*Table1[[#This Row],[Unconditional mortality NOW]]</f>
        <v>5.0339871816854341E-12</v>
      </c>
      <c r="AR151" s="60">
        <f>Table1[[#This Row],[cumulative debt until t]]*Table1[[#This Row],[Unconditional mortality NOW]]</f>
        <v>3.0396729076025896E-16</v>
      </c>
      <c r="AS151" s="58">
        <f>Table1[[#This Row],[lender to pay cumulative probablistic undiscounted]]/Table1[[#This Row],[lender discounter]]</f>
        <v>8.5622625369617102E-20</v>
      </c>
    </row>
    <row r="152" spans="1:45" s="3" customFormat="1">
      <c r="A152" s="3">
        <v>156</v>
      </c>
      <c r="B152" s="8">
        <v>3.2000000000000001E-2</v>
      </c>
      <c r="C152" s="3">
        <v>0</v>
      </c>
      <c r="D152" s="8">
        <v>3.2000000000000001E-2</v>
      </c>
      <c r="E152" s="12">
        <v>0.99999999989999999</v>
      </c>
      <c r="F152" s="13">
        <f>1-Table1[[#This Row],[one-year conditional mortality AT ISSUE]]</f>
        <v>1.000000082740371E-10</v>
      </c>
      <c r="G152" s="13">
        <f>PRODUCT(F$17:F152)</f>
        <v>0</v>
      </c>
      <c r="H152" s="13">
        <f>Table1[[#This Row],[one-year conditional survival AT ISSUE]]*(1-Table1[[#This Row],[Lapse rate]])</f>
        <v>9.6800008009267909E-11</v>
      </c>
      <c r="I152" s="13">
        <f>PRODUCT(H$17:H152)</f>
        <v>0</v>
      </c>
      <c r="J152" s="13">
        <f>G151*Table1[[#This Row],[one-year conditional mortality AT ISSUE]]</f>
        <v>0</v>
      </c>
      <c r="K152" s="10">
        <f>I151*Table1[[#This Row],[one-year conditional mortality AT ISSUE]]</f>
        <v>0</v>
      </c>
      <c r="L152" s="3">
        <f t="shared" si="6"/>
        <v>1.9910109748700498E-3</v>
      </c>
      <c r="M152" s="44">
        <v>1</v>
      </c>
      <c r="N152" s="44">
        <f>Table1[[#This Row],[one-year conditional mortality AT ISSUE]]/Table1[[#This Row],[one-year conditional persistency AT ISSUE]]</f>
        <v>10330577656.607809</v>
      </c>
      <c r="O152" s="4">
        <f>(1+$B$14)^(Table1[[#This Row],[age since issue]]-$A$17)</f>
        <v>103.97937964513932</v>
      </c>
      <c r="P152" s="5">
        <f>(Table1[[#This Row],[level premium unmarked-up]]*Table1[[#This Row],[unconditional persistency AT ISSUE]]-Table1[[#This Row],[Death benefit pay probability]])</f>
        <v>0</v>
      </c>
      <c r="Q152" s="4">
        <f>Table1[[#This Row],[Issuer profit with unmarked-up level premium]]/Table1[[#This Row],[Issuer discounter at issue]]</f>
        <v>0</v>
      </c>
      <c r="R152" s="4">
        <f>(Table1[[#This Row],[variable premium unmarked up]]*Table1[[#This Row],[unconditional persistency AT ISSUE]]-Table1[[#This Row],[Death benefit pay probability]])</f>
        <v>0</v>
      </c>
      <c r="S152" s="6">
        <f>Table1[[#This Row],[level premium unmarked-up]]*(1+$B$15)</f>
        <v>1.9910109748700498E-3</v>
      </c>
      <c r="T152" s="6">
        <f>MIN(Table1[[#This Row],[variable premium unmarked up]]*(1+$B$15),1)</f>
        <v>1</v>
      </c>
      <c r="U152" s="6">
        <f>Table1[[#This Row],[level premium marked up]]-Table1[[#This Row],[variable premium marked up]]</f>
        <v>-0.99800898902512991</v>
      </c>
      <c r="V152" s="6">
        <f>Table1[[#This Row],[additional cash]]+V151*(1+$D$2)</f>
        <v>-60.10313870573578</v>
      </c>
      <c r="W152" s="12">
        <v>0.5</v>
      </c>
      <c r="X152" s="13">
        <f>1-Table1[[#This Row],[one-year conditional mortality NOW]]</f>
        <v>0.5</v>
      </c>
      <c r="Y152" s="49">
        <f>PRODUCT(X$17:X152)</f>
        <v>2.8046476972287617E-18</v>
      </c>
      <c r="Z152" s="13">
        <f>Table1[[#This Row],[one-year conditional survival NOW]]*(1-Table1[[#This Row],[Lapse rate]])</f>
        <v>0.48399999999999999</v>
      </c>
      <c r="AA152" s="13">
        <f>PRODUCT(Z$17:Z152)</f>
        <v>3.3402772812506352E-20</v>
      </c>
      <c r="AB152" s="50">
        <f>Y151*Table1[[#This Row],[one-year conditional mortality NOW]]</f>
        <v>2.8046476972287617E-18</v>
      </c>
      <c r="AC152" s="14">
        <v>1.9699999999999999E-2</v>
      </c>
      <c r="AD152" s="28">
        <f>(1+Table1[[#This Row],[Yield curve now]])^(Table1[[#This Row],[age since issue]]-$A$23)</f>
        <v>12.386314132038631</v>
      </c>
      <c r="AE152" s="46">
        <f t="shared" si="4"/>
        <v>57.382579460110257</v>
      </c>
      <c r="AF152" s="42">
        <f>1-Table1[[#This Row],[cumulative debt until t]]</f>
        <v>-56.382579460110257</v>
      </c>
      <c r="AG152" s="46">
        <f>Table1[[#This Row],[cumulative debt until t]]*Table1[[#This Row],[Unconditional mortality NOW]]/Table1[[#This Row],[discouter with yield curve]]</f>
        <v>1.2993205051013535E-17</v>
      </c>
      <c r="AH152" s="48">
        <f>Table1[[#This Row],[Unconditional mortality NOW]]/Table1[[#This Row],[discouter with yield curve]]</f>
        <v>2.2643117777662499E-19</v>
      </c>
      <c r="AI152" s="29">
        <f>Table1[[#This Row],[user profit (death benefit - debt)]]*Table1[[#This Row],[Unconditional mortality NOW]]/Table1[[#This Row],[discouter with yield curve]]</f>
        <v>-1.276677387323691E-17</v>
      </c>
      <c r="AJ152" s="29">
        <f>(1+$D$4)^(Table1[[#This Row],[age since issue]]-$A$23)</f>
        <v>67611629.916132972</v>
      </c>
      <c r="AK152" s="57">
        <f>Table1[[#This Row],[level premium marked up]]*Table1[[#This Row],[unconditional survival NOW]]</f>
        <v>5.5840843458264769E-21</v>
      </c>
      <c r="AL152" s="62">
        <f>Table1[[#This Row],[cumulative debt until t]]*Table1[[#This Row],[Unconditional mortality NOW]]</f>
        <v>1.6093791934384467E-16</v>
      </c>
      <c r="AM152" s="47">
        <f>Table1[[#This Row],[probablistic premium stream]]/Table1[[#This Row],[lender discounter]]</f>
        <v>8.2590589115409648E-29</v>
      </c>
      <c r="AN152" s="58">
        <f>Table1[[#This Row],[probablistic repay from borrower]]/Table1[[#This Row],[lender discounter]]</f>
        <v>2.3803289396140245E-24</v>
      </c>
      <c r="AO152" s="47">
        <f>(Table1[[#This Row],[probablistic repay from borrower]]-Table1[[#This Row],[probablistic premium stream]])/Table1[[#This Row],[lender discounter]]</f>
        <v>2.3802463490249094E-24</v>
      </c>
      <c r="AP152" s="46">
        <f>AP151*(1+$D$4)+ Table1[[#This Row],[level premium marked up]]</f>
        <v>1032052.1318642877</v>
      </c>
      <c r="AQ152" s="58">
        <f>AP152*Table1[[#This Row],[Unconditional mortality NOW]]</f>
        <v>2.8945426350532088E-12</v>
      </c>
      <c r="AR152" s="60">
        <f>Table1[[#This Row],[cumulative debt until t]]*Table1[[#This Row],[Unconditional mortality NOW]]</f>
        <v>1.6093791934384467E-16</v>
      </c>
      <c r="AS152" s="58">
        <f>Table1[[#This Row],[lender to pay cumulative probablistic undiscounted]]/Table1[[#This Row],[lender discounter]]</f>
        <v>4.2811312767399138E-20</v>
      </c>
    </row>
    <row r="153" spans="1:45" s="3" customFormat="1">
      <c r="A153" s="3">
        <v>157</v>
      </c>
      <c r="B153" s="8">
        <v>3.2000000000000001E-2</v>
      </c>
      <c r="C153" s="3">
        <v>0</v>
      </c>
      <c r="D153" s="8">
        <v>3.2000000000000001E-2</v>
      </c>
      <c r="E153" s="12">
        <v>0.99999999989999999</v>
      </c>
      <c r="F153" s="13">
        <f>1-Table1[[#This Row],[one-year conditional mortality AT ISSUE]]</f>
        <v>1.000000082740371E-10</v>
      </c>
      <c r="G153" s="13">
        <f>PRODUCT(F$17:F153)</f>
        <v>0</v>
      </c>
      <c r="H153" s="13">
        <f>Table1[[#This Row],[one-year conditional survival AT ISSUE]]*(1-Table1[[#This Row],[Lapse rate]])</f>
        <v>9.6800008009267909E-11</v>
      </c>
      <c r="I153" s="13">
        <f>PRODUCT(H$17:H153)</f>
        <v>0</v>
      </c>
      <c r="J153" s="13">
        <f>G152*Table1[[#This Row],[one-year conditional mortality AT ISSUE]]</f>
        <v>0</v>
      </c>
      <c r="K153" s="10">
        <f>I152*Table1[[#This Row],[one-year conditional mortality AT ISSUE]]</f>
        <v>0</v>
      </c>
      <c r="L153" s="3">
        <f t="shared" si="6"/>
        <v>1.9910109748700498E-3</v>
      </c>
      <c r="M153" s="44">
        <v>1</v>
      </c>
      <c r="N153" s="44">
        <f>Table1[[#This Row],[one-year conditional mortality AT ISSUE]]/Table1[[#This Row],[one-year conditional persistency AT ISSUE]]</f>
        <v>10330577656.607809</v>
      </c>
      <c r="O153" s="4">
        <f>(1+$B$14)^(Table1[[#This Row],[age since issue]]-$A$17)</f>
        <v>107.61865793271917</v>
      </c>
      <c r="P153" s="5">
        <f>(Table1[[#This Row],[level premium unmarked-up]]*Table1[[#This Row],[unconditional persistency AT ISSUE]]-Table1[[#This Row],[Death benefit pay probability]])</f>
        <v>0</v>
      </c>
      <c r="Q153" s="4">
        <f>Table1[[#This Row],[Issuer profit with unmarked-up level premium]]/Table1[[#This Row],[Issuer discounter at issue]]</f>
        <v>0</v>
      </c>
      <c r="R153" s="4">
        <f>(Table1[[#This Row],[variable premium unmarked up]]*Table1[[#This Row],[unconditional persistency AT ISSUE]]-Table1[[#This Row],[Death benefit pay probability]])</f>
        <v>0</v>
      </c>
      <c r="S153" s="6">
        <f>Table1[[#This Row],[level premium unmarked-up]]*(1+$B$15)</f>
        <v>1.9910109748700498E-3</v>
      </c>
      <c r="T153" s="6">
        <f>MIN(Table1[[#This Row],[variable premium unmarked up]]*(1+$B$15),1)</f>
        <v>1</v>
      </c>
      <c r="U153" s="6">
        <f>Table1[[#This Row],[level premium marked up]]-Table1[[#This Row],[variable premium marked up]]</f>
        <v>-0.99800898902512991</v>
      </c>
      <c r="V153" s="6">
        <f>Table1[[#This Row],[additional cash]]+V152*(1+$D$2)</f>
        <v>-61.161250833466639</v>
      </c>
      <c r="W153" s="12">
        <v>0.5</v>
      </c>
      <c r="X153" s="13">
        <f>1-Table1[[#This Row],[one-year conditional mortality NOW]]</f>
        <v>0.5</v>
      </c>
      <c r="Y153" s="49">
        <f>PRODUCT(X$17:X153)</f>
        <v>1.4023238486143809E-18</v>
      </c>
      <c r="Z153" s="13">
        <f>Table1[[#This Row],[one-year conditional survival NOW]]*(1-Table1[[#This Row],[Lapse rate]])</f>
        <v>0.48399999999999999</v>
      </c>
      <c r="AA153" s="13">
        <f>PRODUCT(Z$17:Z153)</f>
        <v>1.6166942041253074E-20</v>
      </c>
      <c r="AB153" s="50">
        <f>Y152*Table1[[#This Row],[one-year conditional mortality NOW]]</f>
        <v>1.4023238486143809E-18</v>
      </c>
      <c r="AC153" s="14">
        <v>1.9699999999999999E-2</v>
      </c>
      <c r="AD153" s="28">
        <f>(1+Table1[[#This Row],[Yield curve now]])^(Table1[[#This Row],[age since issue]]-$A$23)</f>
        <v>12.630324520439791</v>
      </c>
      <c r="AE153" s="46">
        <f t="shared" ref="AE153:AE197" si="7">(AE152+L152)*(1+$B$2)</f>
        <v>60.763209383960088</v>
      </c>
      <c r="AF153" s="42">
        <f>1-Table1[[#This Row],[cumulative debt until t]]</f>
        <v>-59.763209383960088</v>
      </c>
      <c r="AG153" s="46">
        <f>Table1[[#This Row],[cumulative debt until t]]*Table1[[#This Row],[Unconditional mortality NOW]]/Table1[[#This Row],[discouter with yield curve]]</f>
        <v>6.746437710256818E-18</v>
      </c>
      <c r="AH153" s="48">
        <f>Table1[[#This Row],[Unconditional mortality NOW]]/Table1[[#This Row],[discouter with yield curve]]</f>
        <v>1.1102833077210211E-19</v>
      </c>
      <c r="AI153" s="29">
        <f>Table1[[#This Row],[user profit (death benefit - debt)]]*Table1[[#This Row],[Unconditional mortality NOW]]/Table1[[#This Row],[discouter with yield curve]]</f>
        <v>-6.6354093794847166E-18</v>
      </c>
      <c r="AJ153" s="29">
        <f>(1+$D$4)^(Table1[[#This Row],[age since issue]]-$A$23)</f>
        <v>77753374.403552905</v>
      </c>
      <c r="AK153" s="57">
        <f>Table1[[#This Row],[level premium marked up]]*Table1[[#This Row],[unconditional survival NOW]]</f>
        <v>2.7920421729132385E-21</v>
      </c>
      <c r="AL153" s="62">
        <f>Table1[[#This Row],[cumulative debt until t]]*Table1[[#This Row],[Unconditional mortality NOW]]</f>
        <v>8.5209697637476369E-17</v>
      </c>
      <c r="AM153" s="47">
        <f>Table1[[#This Row],[probablistic premium stream]]/Table1[[#This Row],[lender discounter]]</f>
        <v>3.5908951789308549E-29</v>
      </c>
      <c r="AN153" s="58">
        <f>Table1[[#This Row],[probablistic repay from borrower]]/Table1[[#This Row],[lender discounter]]</f>
        <v>1.0958971014585671E-24</v>
      </c>
      <c r="AO153" s="47">
        <f>(Table1[[#This Row],[probablistic repay from borrower]]-Table1[[#This Row],[probablistic premium stream]])/Table1[[#This Row],[lender discounter]]</f>
        <v>1.0958611925067777E-24</v>
      </c>
      <c r="AP153" s="46">
        <f>AP152*(1+$D$4)+ Table1[[#This Row],[level premium marked up]]</f>
        <v>1186859.9536349417</v>
      </c>
      <c r="AQ153" s="58">
        <f>AP153*Table1[[#This Row],[Unconditional mortality NOW]]</f>
        <v>1.6643620179476372E-12</v>
      </c>
      <c r="AR153" s="60">
        <f>Table1[[#This Row],[cumulative debt until t]]*Table1[[#This Row],[Unconditional mortality NOW]]</f>
        <v>8.5209697637476369E-17</v>
      </c>
      <c r="AS153" s="58">
        <f>Table1[[#This Row],[lender to pay cumulative probablistic undiscounted]]/Table1[[#This Row],[lender discounter]]</f>
        <v>2.1405656419608521E-20</v>
      </c>
    </row>
    <row r="154" spans="1:45" s="3" customFormat="1">
      <c r="A154" s="3">
        <v>158</v>
      </c>
      <c r="B154" s="8">
        <v>3.2000000000000001E-2</v>
      </c>
      <c r="C154" s="3">
        <v>0</v>
      </c>
      <c r="D154" s="8">
        <v>3.2000000000000001E-2</v>
      </c>
      <c r="E154" s="12">
        <v>0.99999999989999999</v>
      </c>
      <c r="F154" s="13">
        <f>1-Table1[[#This Row],[one-year conditional mortality AT ISSUE]]</f>
        <v>1.000000082740371E-10</v>
      </c>
      <c r="G154" s="13">
        <f>PRODUCT(F$17:F154)</f>
        <v>0</v>
      </c>
      <c r="H154" s="13">
        <f>Table1[[#This Row],[one-year conditional survival AT ISSUE]]*(1-Table1[[#This Row],[Lapse rate]])</f>
        <v>9.6800008009267909E-11</v>
      </c>
      <c r="I154" s="13">
        <f>PRODUCT(H$17:H154)</f>
        <v>0</v>
      </c>
      <c r="J154" s="13">
        <f>G153*Table1[[#This Row],[one-year conditional mortality AT ISSUE]]</f>
        <v>0</v>
      </c>
      <c r="K154" s="10">
        <f>I153*Table1[[#This Row],[one-year conditional mortality AT ISSUE]]</f>
        <v>0</v>
      </c>
      <c r="L154" s="3">
        <f t="shared" si="6"/>
        <v>1.9910109748700498E-3</v>
      </c>
      <c r="M154" s="44">
        <v>1</v>
      </c>
      <c r="N154" s="44">
        <f>Table1[[#This Row],[one-year conditional mortality AT ISSUE]]/Table1[[#This Row],[one-year conditional persistency AT ISSUE]]</f>
        <v>10330577656.607809</v>
      </c>
      <c r="O154" s="4">
        <f>(1+$B$14)^(Table1[[#This Row],[age since issue]]-$A$17)</f>
        <v>111.38531096036432</v>
      </c>
      <c r="P154" s="5">
        <f>(Table1[[#This Row],[level premium unmarked-up]]*Table1[[#This Row],[unconditional persistency AT ISSUE]]-Table1[[#This Row],[Death benefit pay probability]])</f>
        <v>0</v>
      </c>
      <c r="Q154" s="4">
        <f>Table1[[#This Row],[Issuer profit with unmarked-up level premium]]/Table1[[#This Row],[Issuer discounter at issue]]</f>
        <v>0</v>
      </c>
      <c r="R154" s="4">
        <f>(Table1[[#This Row],[variable premium unmarked up]]*Table1[[#This Row],[unconditional persistency AT ISSUE]]-Table1[[#This Row],[Death benefit pay probability]])</f>
        <v>0</v>
      </c>
      <c r="S154" s="6">
        <f>Table1[[#This Row],[level premium unmarked-up]]*(1+$B$15)</f>
        <v>1.9910109748700498E-3</v>
      </c>
      <c r="T154" s="6">
        <f>MIN(Table1[[#This Row],[variable premium unmarked up]]*(1+$B$15),1)</f>
        <v>1</v>
      </c>
      <c r="U154" s="6">
        <f>Table1[[#This Row],[level premium marked up]]-Table1[[#This Row],[variable premium marked up]]</f>
        <v>-0.99800898902512991</v>
      </c>
      <c r="V154" s="6">
        <f>Table1[[#This Row],[additional cash]]+V153*(1+$D$2)</f>
        <v>-62.220421073325227</v>
      </c>
      <c r="W154" s="12">
        <v>0.5</v>
      </c>
      <c r="X154" s="13">
        <f>1-Table1[[#This Row],[one-year conditional mortality NOW]]</f>
        <v>0.5</v>
      </c>
      <c r="Y154" s="49">
        <f>PRODUCT(X$17:X154)</f>
        <v>7.0116192430719044E-19</v>
      </c>
      <c r="Z154" s="13">
        <f>Table1[[#This Row],[one-year conditional survival NOW]]*(1-Table1[[#This Row],[Lapse rate]])</f>
        <v>0.48399999999999999</v>
      </c>
      <c r="AA154" s="13">
        <f>PRODUCT(Z$17:Z154)</f>
        <v>7.8247999479664874E-21</v>
      </c>
      <c r="AB154" s="50">
        <f>Y153*Table1[[#This Row],[one-year conditional mortality NOW]]</f>
        <v>7.0116192430719044E-19</v>
      </c>
      <c r="AC154" s="14">
        <v>1.9699999999999999E-2</v>
      </c>
      <c r="AD154" s="28">
        <f>(1+Table1[[#This Row],[Yield curve now]])^(Table1[[#This Row],[age since issue]]-$A$23)</f>
        <v>12.879141913492456</v>
      </c>
      <c r="AE154" s="46">
        <f t="shared" si="7"/>
        <v>64.342881101047766</v>
      </c>
      <c r="AF154" s="42">
        <f>1-Table1[[#This Row],[cumulative debt until t]]</f>
        <v>-63.342881101047766</v>
      </c>
      <c r="AG154" s="46">
        <f>Table1[[#This Row],[cumulative debt until t]]*Table1[[#This Row],[Unconditional mortality NOW]]/Table1[[#This Row],[discouter with yield curve]]</f>
        <v>3.5029335518864215E-18</v>
      </c>
      <c r="AH154" s="48">
        <f>Table1[[#This Row],[Unconditional mortality NOW]]/Table1[[#This Row],[discouter with yield curve]]</f>
        <v>5.4441664593557948E-20</v>
      </c>
      <c r="AI154" s="29">
        <f>Table1[[#This Row],[user profit (death benefit - debt)]]*Table1[[#This Row],[Unconditional mortality NOW]]/Table1[[#This Row],[discouter with yield curve]]</f>
        <v>-3.4484918872928635E-18</v>
      </c>
      <c r="AJ154" s="29">
        <f>(1+$D$4)^(Table1[[#This Row],[age since issue]]-$A$23)</f>
        <v>89416380.564085826</v>
      </c>
      <c r="AK154" s="57">
        <f>Table1[[#This Row],[level premium marked up]]*Table1[[#This Row],[unconditional survival NOW]]</f>
        <v>1.3960210864566192E-21</v>
      </c>
      <c r="AL154" s="62">
        <f>Table1[[#This Row],[cumulative debt until t]]*Table1[[#This Row],[Unconditional mortality NOW]]</f>
        <v>4.5114778328279407E-17</v>
      </c>
      <c r="AM154" s="47">
        <f>Table1[[#This Row],[probablistic premium stream]]/Table1[[#This Row],[lender discounter]]</f>
        <v>1.561258773448198E-29</v>
      </c>
      <c r="AN154" s="58">
        <f>Table1[[#This Row],[probablistic repay from borrower]]/Table1[[#This Row],[lender discounter]]</f>
        <v>5.0454713156215365E-25</v>
      </c>
      <c r="AO154" s="47">
        <f>(Table1[[#This Row],[probablistic repay from borrower]]-Table1[[#This Row],[probablistic premium stream]])/Table1[[#This Row],[lender discounter]]</f>
        <v>5.0453151897441914E-25</v>
      </c>
      <c r="AP154" s="46">
        <f>AP153*(1+$D$4)+ Table1[[#This Row],[level premium marked up]]</f>
        <v>1364888.9486711938</v>
      </c>
      <c r="AQ154" s="58">
        <f>AP154*Table1[[#This Row],[Unconditional mortality NOW]]</f>
        <v>9.5700816171591227E-13</v>
      </c>
      <c r="AR154" s="60">
        <f>Table1[[#This Row],[cumulative debt until t]]*Table1[[#This Row],[Unconditional mortality NOW]]</f>
        <v>4.5114778328279407E-17</v>
      </c>
      <c r="AS154" s="58">
        <f>Table1[[#This Row],[lender to pay cumulative probablistic undiscounted]]/Table1[[#This Row],[lender discounter]]</f>
        <v>1.0702828225416849E-20</v>
      </c>
    </row>
    <row r="155" spans="1:45" s="3" customFormat="1">
      <c r="A155" s="3">
        <v>159</v>
      </c>
      <c r="B155" s="8">
        <v>3.2000000000000001E-2</v>
      </c>
      <c r="C155" s="3">
        <v>0</v>
      </c>
      <c r="D155" s="8">
        <v>3.2000000000000001E-2</v>
      </c>
      <c r="E155" s="12">
        <v>0.99999999989999999</v>
      </c>
      <c r="F155" s="13">
        <f>1-Table1[[#This Row],[one-year conditional mortality AT ISSUE]]</f>
        <v>1.000000082740371E-10</v>
      </c>
      <c r="G155" s="13">
        <f>PRODUCT(F$17:F155)</f>
        <v>0</v>
      </c>
      <c r="H155" s="13">
        <f>Table1[[#This Row],[one-year conditional survival AT ISSUE]]*(1-Table1[[#This Row],[Lapse rate]])</f>
        <v>9.6800008009267909E-11</v>
      </c>
      <c r="I155" s="13">
        <f>PRODUCT(H$17:H155)</f>
        <v>0</v>
      </c>
      <c r="J155" s="13">
        <f>G154*Table1[[#This Row],[one-year conditional mortality AT ISSUE]]</f>
        <v>0</v>
      </c>
      <c r="K155" s="10">
        <f>I154*Table1[[#This Row],[one-year conditional mortality AT ISSUE]]</f>
        <v>0</v>
      </c>
      <c r="L155" s="3">
        <f t="shared" si="6"/>
        <v>1.9910109748700498E-3</v>
      </c>
      <c r="M155" s="44">
        <v>1</v>
      </c>
      <c r="N155" s="44">
        <f>Table1[[#This Row],[one-year conditional mortality AT ISSUE]]/Table1[[#This Row],[one-year conditional persistency AT ISSUE]]</f>
        <v>10330577656.607809</v>
      </c>
      <c r="O155" s="4">
        <f>(1+$B$14)^(Table1[[#This Row],[age since issue]]-$A$17)</f>
        <v>115.28379684397707</v>
      </c>
      <c r="P155" s="5">
        <f>(Table1[[#This Row],[level premium unmarked-up]]*Table1[[#This Row],[unconditional persistency AT ISSUE]]-Table1[[#This Row],[Death benefit pay probability]])</f>
        <v>0</v>
      </c>
      <c r="Q155" s="4">
        <f>Table1[[#This Row],[Issuer profit with unmarked-up level premium]]/Table1[[#This Row],[Issuer discounter at issue]]</f>
        <v>0</v>
      </c>
      <c r="R155" s="4">
        <f>(Table1[[#This Row],[variable premium unmarked up]]*Table1[[#This Row],[unconditional persistency AT ISSUE]]-Table1[[#This Row],[Death benefit pay probability]])</f>
        <v>0</v>
      </c>
      <c r="S155" s="6">
        <f>Table1[[#This Row],[level premium unmarked-up]]*(1+$B$15)</f>
        <v>1.9910109748700498E-3</v>
      </c>
      <c r="T155" s="6">
        <f>MIN(Table1[[#This Row],[variable premium unmarked up]]*(1+$B$15),1)</f>
        <v>1</v>
      </c>
      <c r="U155" s="6">
        <f>Table1[[#This Row],[level premium marked up]]-Table1[[#This Row],[variable premium marked up]]</f>
        <v>-0.99800898902512991</v>
      </c>
      <c r="V155" s="6">
        <f>Table1[[#This Row],[additional cash]]+V154*(1+$D$2)</f>
        <v>-63.280650483423678</v>
      </c>
      <c r="W155" s="12">
        <v>0.5</v>
      </c>
      <c r="X155" s="13">
        <f>1-Table1[[#This Row],[one-year conditional mortality NOW]]</f>
        <v>0.5</v>
      </c>
      <c r="Y155" s="49">
        <f>PRODUCT(X$17:X155)</f>
        <v>3.5058096215359522E-19</v>
      </c>
      <c r="Z155" s="13">
        <f>Table1[[#This Row],[one-year conditional survival NOW]]*(1-Table1[[#This Row],[Lapse rate]])</f>
        <v>0.48399999999999999</v>
      </c>
      <c r="AA155" s="13">
        <f>PRODUCT(Z$17:Z155)</f>
        <v>3.7872031748157795E-21</v>
      </c>
      <c r="AB155" s="50">
        <f>Y154*Table1[[#This Row],[one-year conditional mortality NOW]]</f>
        <v>3.5058096215359522E-19</v>
      </c>
      <c r="AC155" s="14">
        <v>1.9699999999999999E-2</v>
      </c>
      <c r="AD155" s="28">
        <f>(1+Table1[[#This Row],[Yield curve now]])^(Table1[[#This Row],[age since issue]]-$A$23)</f>
        <v>13.132861009188257</v>
      </c>
      <c r="AE155" s="46">
        <f t="shared" si="7"/>
        <v>68.133313621246529</v>
      </c>
      <c r="AF155" s="42">
        <f>1-Table1[[#This Row],[cumulative debt until t]]</f>
        <v>-67.133313621246529</v>
      </c>
      <c r="AG155" s="46">
        <f>Table1[[#This Row],[cumulative debt until t]]*Table1[[#This Row],[Unconditional mortality NOW]]/Table1[[#This Row],[discouter with yield curve]]</f>
        <v>1.8188148513364699E-18</v>
      </c>
      <c r="AH155" s="48">
        <f>Table1[[#This Row],[Unconditional mortality NOW]]/Table1[[#This Row],[discouter with yield curve]]</f>
        <v>2.6694941940550137E-20</v>
      </c>
      <c r="AI155" s="29">
        <f>Table1[[#This Row],[user profit (death benefit - debt)]]*Table1[[#This Row],[Unconditional mortality NOW]]/Table1[[#This Row],[discouter with yield curve]]</f>
        <v>-1.7921199093959197E-18</v>
      </c>
      <c r="AJ155" s="29">
        <f>(1+$D$4)^(Table1[[#This Row],[age since issue]]-$A$23)</f>
        <v>102828837.6486987</v>
      </c>
      <c r="AK155" s="57">
        <f>Table1[[#This Row],[level premium marked up]]*Table1[[#This Row],[unconditional survival NOW]]</f>
        <v>6.9801054322830962E-22</v>
      </c>
      <c r="AL155" s="62">
        <f>Table1[[#This Row],[cumulative debt until t]]*Table1[[#This Row],[Unconditional mortality NOW]]</f>
        <v>2.3886242644049262E-17</v>
      </c>
      <c r="AM155" s="47">
        <f>Table1[[#This Row],[probablistic premium stream]]/Table1[[#This Row],[lender discounter]]</f>
        <v>6.7880816236878166E-30</v>
      </c>
      <c r="AN155" s="58">
        <f>Table1[[#This Row],[probablistic repay from borrower]]/Table1[[#This Row],[lender discounter]]</f>
        <v>2.3229128316760219E-25</v>
      </c>
      <c r="AO155" s="47">
        <f>(Table1[[#This Row],[probablistic repay from borrower]]-Table1[[#This Row],[probablistic premium stream]])/Table1[[#This Row],[lender discounter]]</f>
        <v>2.3228449508597849E-25</v>
      </c>
      <c r="AP155" s="46">
        <f>AP154*(1+$D$4)+ Table1[[#This Row],[level premium marked up]]</f>
        <v>1569622.2929628836</v>
      </c>
      <c r="AQ155" s="58">
        <f>AP155*Table1[[#This Row],[Unconditional mortality NOW]]</f>
        <v>5.5027969368466008E-13</v>
      </c>
      <c r="AR155" s="60">
        <f>Table1[[#This Row],[cumulative debt until t]]*Table1[[#This Row],[Unconditional mortality NOW]]</f>
        <v>2.3886242644049262E-17</v>
      </c>
      <c r="AS155" s="58">
        <f>Table1[[#This Row],[lender to pay cumulative probablistic undiscounted]]/Table1[[#This Row],[lender discounter]]</f>
        <v>5.3514141194965053E-21</v>
      </c>
    </row>
    <row r="156" spans="1:45" s="3" customFormat="1">
      <c r="A156" s="3">
        <v>160</v>
      </c>
      <c r="B156" s="8">
        <v>3.2000000000000001E-2</v>
      </c>
      <c r="C156" s="3">
        <v>0</v>
      </c>
      <c r="D156" s="8">
        <v>3.2000000000000001E-2</v>
      </c>
      <c r="E156" s="12">
        <v>0.99999999989999999</v>
      </c>
      <c r="F156" s="13">
        <f>1-Table1[[#This Row],[one-year conditional mortality AT ISSUE]]</f>
        <v>1.000000082740371E-10</v>
      </c>
      <c r="G156" s="13">
        <f>PRODUCT(F$17:F156)</f>
        <v>0</v>
      </c>
      <c r="H156" s="13">
        <f>Table1[[#This Row],[one-year conditional survival AT ISSUE]]*(1-Table1[[#This Row],[Lapse rate]])</f>
        <v>9.6800008009267909E-11</v>
      </c>
      <c r="I156" s="13">
        <f>PRODUCT(H$17:H156)</f>
        <v>0</v>
      </c>
      <c r="J156" s="13">
        <f>G155*Table1[[#This Row],[one-year conditional mortality AT ISSUE]]</f>
        <v>0</v>
      </c>
      <c r="K156" s="10">
        <f>I155*Table1[[#This Row],[one-year conditional mortality AT ISSUE]]</f>
        <v>0</v>
      </c>
      <c r="L156" s="3">
        <f t="shared" si="6"/>
        <v>1.9910109748700498E-3</v>
      </c>
      <c r="M156" s="44">
        <v>1</v>
      </c>
      <c r="N156" s="44">
        <f>Table1[[#This Row],[one-year conditional mortality AT ISSUE]]/Table1[[#This Row],[one-year conditional persistency AT ISSUE]]</f>
        <v>10330577656.607809</v>
      </c>
      <c r="O156" s="4">
        <f>(1+$B$14)^(Table1[[#This Row],[age since issue]]-$A$17)</f>
        <v>119.31872973351628</v>
      </c>
      <c r="P156" s="5">
        <f>(Table1[[#This Row],[level premium unmarked-up]]*Table1[[#This Row],[unconditional persistency AT ISSUE]]-Table1[[#This Row],[Death benefit pay probability]])</f>
        <v>0</v>
      </c>
      <c r="Q156" s="4">
        <f>Table1[[#This Row],[Issuer profit with unmarked-up level premium]]/Table1[[#This Row],[Issuer discounter at issue]]</f>
        <v>0</v>
      </c>
      <c r="R156" s="4">
        <f>(Table1[[#This Row],[variable premium unmarked up]]*Table1[[#This Row],[unconditional persistency AT ISSUE]]-Table1[[#This Row],[Death benefit pay probability]])</f>
        <v>0</v>
      </c>
      <c r="S156" s="6">
        <f>Table1[[#This Row],[level premium unmarked-up]]*(1+$B$15)</f>
        <v>1.9910109748700498E-3</v>
      </c>
      <c r="T156" s="6">
        <f>MIN(Table1[[#This Row],[variable premium unmarked up]]*(1+$B$15),1)</f>
        <v>1</v>
      </c>
      <c r="U156" s="6">
        <f>Table1[[#This Row],[level premium marked up]]-Table1[[#This Row],[variable premium marked up]]</f>
        <v>-0.99800898902512991</v>
      </c>
      <c r="V156" s="6">
        <f>Table1[[#This Row],[additional cash]]+V155*(1+$D$2)</f>
        <v>-64.341940122932215</v>
      </c>
      <c r="W156" s="12">
        <v>0.5</v>
      </c>
      <c r="X156" s="13">
        <f>1-Table1[[#This Row],[one-year conditional mortality NOW]]</f>
        <v>0.5</v>
      </c>
      <c r="Y156" s="49">
        <f>PRODUCT(X$17:X156)</f>
        <v>1.7529048107679761E-19</v>
      </c>
      <c r="Z156" s="13">
        <f>Table1[[#This Row],[one-year conditional survival NOW]]*(1-Table1[[#This Row],[Lapse rate]])</f>
        <v>0.48399999999999999</v>
      </c>
      <c r="AA156" s="13">
        <f>PRODUCT(Z$17:Z156)</f>
        <v>1.8330063366108372E-21</v>
      </c>
      <c r="AB156" s="50">
        <f>Y155*Table1[[#This Row],[one-year conditional mortality NOW]]</f>
        <v>1.7529048107679761E-19</v>
      </c>
      <c r="AC156" s="14">
        <v>1.9699999999999999E-2</v>
      </c>
      <c r="AD156" s="28">
        <f>(1+Table1[[#This Row],[Yield curve now]])^(Table1[[#This Row],[age since issue]]-$A$23)</f>
        <v>13.391578371069267</v>
      </c>
      <c r="AE156" s="46">
        <f t="shared" si="7"/>
        <v>72.146915936117253</v>
      </c>
      <c r="AF156" s="42">
        <f>1-Table1[[#This Row],[cumulative debt until t]]</f>
        <v>-71.146915936117253</v>
      </c>
      <c r="AG156" s="46">
        <f>Table1[[#This Row],[cumulative debt until t]]*Table1[[#This Row],[Unconditional mortality NOW]]/Table1[[#This Row],[discouter with yield curve]]</f>
        <v>9.4437468476238177E-19</v>
      </c>
      <c r="AH156" s="48">
        <f>Table1[[#This Row],[Unconditional mortality NOW]]/Table1[[#This Row],[discouter with yield curve]]</f>
        <v>1.3089605737251219E-20</v>
      </c>
      <c r="AI156" s="29">
        <f>Table1[[#This Row],[user profit (death benefit - debt)]]*Table1[[#This Row],[Unconditional mortality NOW]]/Table1[[#This Row],[discouter with yield curve]]</f>
        <v>-9.3128507902513054E-19</v>
      </c>
      <c r="AJ156" s="29">
        <f>(1+$D$4)^(Table1[[#This Row],[age since issue]]-$A$23)</f>
        <v>118253163.29600351</v>
      </c>
      <c r="AK156" s="57">
        <f>Table1[[#This Row],[level premium marked up]]*Table1[[#This Row],[unconditional survival NOW]]</f>
        <v>3.4900527161415481E-22</v>
      </c>
      <c r="AL156" s="62">
        <f>Table1[[#This Row],[cumulative debt until t]]*Table1[[#This Row],[Unconditional mortality NOW]]</f>
        <v>1.264666760264927E-17</v>
      </c>
      <c r="AM156" s="47">
        <f>Table1[[#This Row],[probablistic premium stream]]/Table1[[#This Row],[lender discounter]]</f>
        <v>2.9513398363860076E-30</v>
      </c>
      <c r="AN156" s="58">
        <f>Table1[[#This Row],[probablistic repay from borrower]]/Table1[[#This Row],[lender discounter]]</f>
        <v>1.0694570234026608E-25</v>
      </c>
      <c r="AO156" s="47">
        <f>(Table1[[#This Row],[probablistic repay from borrower]]-Table1[[#This Row],[probablistic premium stream]])/Table1[[#This Row],[lender discounter]]</f>
        <v>1.0694275100042971E-25</v>
      </c>
      <c r="AP156" s="46">
        <f>AP155*(1+$D$4)+ Table1[[#This Row],[level premium marked up]]</f>
        <v>1805065.638898327</v>
      </c>
      <c r="AQ156" s="58">
        <f>AP156*Table1[[#This Row],[Unconditional mortality NOW]]</f>
        <v>3.1641082421768478E-13</v>
      </c>
      <c r="AR156" s="60">
        <f>Table1[[#This Row],[cumulative debt until t]]*Table1[[#This Row],[Unconditional mortality NOW]]</f>
        <v>1.264666760264927E-17</v>
      </c>
      <c r="AS156" s="58">
        <f>Table1[[#This Row],[lender to pay cumulative probablistic undiscounted]]/Table1[[#This Row],[lender discounter]]</f>
        <v>2.6757070626995924E-21</v>
      </c>
    </row>
    <row r="157" spans="1:45" s="3" customFormat="1">
      <c r="A157" s="3">
        <v>161</v>
      </c>
      <c r="B157" s="8">
        <v>3.2000000000000001E-2</v>
      </c>
      <c r="C157" s="3">
        <v>0</v>
      </c>
      <c r="D157" s="8">
        <v>3.2000000000000001E-2</v>
      </c>
      <c r="E157" s="12">
        <v>0.99999999989999999</v>
      </c>
      <c r="F157" s="13">
        <f>1-Table1[[#This Row],[one-year conditional mortality AT ISSUE]]</f>
        <v>1.000000082740371E-10</v>
      </c>
      <c r="G157" s="13">
        <f>PRODUCT(F$17:F157)</f>
        <v>0</v>
      </c>
      <c r="H157" s="13">
        <f>Table1[[#This Row],[one-year conditional survival AT ISSUE]]*(1-Table1[[#This Row],[Lapse rate]])</f>
        <v>9.6800008009267909E-11</v>
      </c>
      <c r="I157" s="13">
        <f>PRODUCT(H$17:H157)</f>
        <v>0</v>
      </c>
      <c r="J157" s="13">
        <f>G156*Table1[[#This Row],[one-year conditional mortality AT ISSUE]]</f>
        <v>0</v>
      </c>
      <c r="K157" s="10">
        <f>I156*Table1[[#This Row],[one-year conditional mortality AT ISSUE]]</f>
        <v>0</v>
      </c>
      <c r="L157" s="3">
        <f t="shared" si="6"/>
        <v>1.9910109748700498E-3</v>
      </c>
      <c r="M157" s="44">
        <v>1</v>
      </c>
      <c r="N157" s="44">
        <f>Table1[[#This Row],[one-year conditional mortality AT ISSUE]]/Table1[[#This Row],[one-year conditional persistency AT ISSUE]]</f>
        <v>10330577656.607809</v>
      </c>
      <c r="O157" s="4">
        <f>(1+$B$14)^(Table1[[#This Row],[age since issue]]-$A$17)</f>
        <v>123.49488527418933</v>
      </c>
      <c r="P157" s="5">
        <f>(Table1[[#This Row],[level premium unmarked-up]]*Table1[[#This Row],[unconditional persistency AT ISSUE]]-Table1[[#This Row],[Death benefit pay probability]])</f>
        <v>0</v>
      </c>
      <c r="Q157" s="4">
        <f>Table1[[#This Row],[Issuer profit with unmarked-up level premium]]/Table1[[#This Row],[Issuer discounter at issue]]</f>
        <v>0</v>
      </c>
      <c r="R157" s="4">
        <f>(Table1[[#This Row],[variable premium unmarked up]]*Table1[[#This Row],[unconditional persistency AT ISSUE]]-Table1[[#This Row],[Death benefit pay probability]])</f>
        <v>0</v>
      </c>
      <c r="S157" s="6">
        <f>Table1[[#This Row],[level premium unmarked-up]]*(1+$B$15)</f>
        <v>1.9910109748700498E-3</v>
      </c>
      <c r="T157" s="6">
        <f>MIN(Table1[[#This Row],[variable premium unmarked up]]*(1+$B$15),1)</f>
        <v>1</v>
      </c>
      <c r="U157" s="6">
        <f>Table1[[#This Row],[level premium marked up]]-Table1[[#This Row],[variable premium marked up]]</f>
        <v>-0.99800898902512991</v>
      </c>
      <c r="V157" s="6">
        <f>Table1[[#This Row],[additional cash]]+V156*(1+$D$2)</f>
        <v>-65.404291052080268</v>
      </c>
      <c r="W157" s="12">
        <v>0.5</v>
      </c>
      <c r="X157" s="13">
        <f>1-Table1[[#This Row],[one-year conditional mortality NOW]]</f>
        <v>0.5</v>
      </c>
      <c r="Y157" s="49">
        <f>PRODUCT(X$17:X157)</f>
        <v>8.7645240538398805E-20</v>
      </c>
      <c r="Z157" s="13">
        <f>Table1[[#This Row],[one-year conditional survival NOW]]*(1-Table1[[#This Row],[Lapse rate]])</f>
        <v>0.48399999999999999</v>
      </c>
      <c r="AA157" s="13">
        <f>PRODUCT(Z$17:Z157)</f>
        <v>8.8717506691964512E-22</v>
      </c>
      <c r="AB157" s="50">
        <f>Y156*Table1[[#This Row],[one-year conditional mortality NOW]]</f>
        <v>8.7645240538398805E-20</v>
      </c>
      <c r="AC157" s="14">
        <v>1.9699999999999999E-2</v>
      </c>
      <c r="AD157" s="28">
        <f>(1+Table1[[#This Row],[Yield curve now]])^(Table1[[#This Row],[age since issue]]-$A$23)</f>
        <v>13.655392464979331</v>
      </c>
      <c r="AE157" s="46">
        <f t="shared" si="7"/>
        <v>76.396827643051125</v>
      </c>
      <c r="AF157" s="42">
        <f>1-Table1[[#This Row],[cumulative debt until t]]</f>
        <v>-75.396827643051125</v>
      </c>
      <c r="AG157" s="46">
        <f>Table1[[#This Row],[cumulative debt until t]]*Table1[[#This Row],[Unconditional mortality NOW]]/Table1[[#This Row],[discouter with yield curve]]</f>
        <v>4.9034243082488704E-19</v>
      </c>
      <c r="AH157" s="48">
        <f>Table1[[#This Row],[Unconditional mortality NOW]]/Table1[[#This Row],[discouter with yield curve]]</f>
        <v>6.4183611538939002E-21</v>
      </c>
      <c r="AI157" s="29">
        <f>Table1[[#This Row],[user profit (death benefit - debt)]]*Table1[[#This Row],[Unconditional mortality NOW]]/Table1[[#This Row],[discouter with yield curve]]</f>
        <v>-4.8392406967099309E-19</v>
      </c>
      <c r="AJ157" s="29">
        <f>(1+$D$4)^(Table1[[#This Row],[age since issue]]-$A$23)</f>
        <v>135991137.79040402</v>
      </c>
      <c r="AK157" s="57">
        <f>Table1[[#This Row],[level premium marked up]]*Table1[[#This Row],[unconditional survival NOW]]</f>
        <v>1.745026358070774E-22</v>
      </c>
      <c r="AL157" s="62">
        <f>Table1[[#This Row],[cumulative debt until t]]*Table1[[#This Row],[Unconditional mortality NOW]]</f>
        <v>6.6958183351458106E-18</v>
      </c>
      <c r="AM157" s="47">
        <f>Table1[[#This Row],[probablistic premium stream]]/Table1[[#This Row],[lender discounter]]</f>
        <v>1.2831912332113077E-30</v>
      </c>
      <c r="AN157" s="58">
        <f>Table1[[#This Row],[probablistic repay from borrower]]/Table1[[#This Row],[lender discounter]]</f>
        <v>4.9237166803220095E-26</v>
      </c>
      <c r="AO157" s="47">
        <f>(Table1[[#This Row],[probablistic repay from borrower]]-Table1[[#This Row],[probablistic premium stream]])/Table1[[#This Row],[lender discounter]]</f>
        <v>4.9235883611986885E-26</v>
      </c>
      <c r="AP157" s="46">
        <f>AP156*(1+$D$4)+ Table1[[#This Row],[level premium marked up]]</f>
        <v>2075825.4867240868</v>
      </c>
      <c r="AQ157" s="58">
        <f>AP157*Table1[[#This Row],[Unconditional mortality NOW]]</f>
        <v>1.8193622409967135E-13</v>
      </c>
      <c r="AR157" s="60">
        <f>Table1[[#This Row],[cumulative debt until t]]*Table1[[#This Row],[Unconditional mortality NOW]]</f>
        <v>6.6958183351458106E-18</v>
      </c>
      <c r="AS157" s="58">
        <f>Table1[[#This Row],[lender to pay cumulative probablistic undiscounted]]/Table1[[#This Row],[lender discounter]]</f>
        <v>1.3378535326329873E-21</v>
      </c>
    </row>
    <row r="158" spans="1:45" s="3" customFormat="1">
      <c r="A158" s="3">
        <v>162</v>
      </c>
      <c r="B158" s="8">
        <v>3.2000000000000001E-2</v>
      </c>
      <c r="C158" s="3">
        <v>0</v>
      </c>
      <c r="D158" s="8">
        <v>3.2000000000000001E-2</v>
      </c>
      <c r="E158" s="12">
        <v>0.99999999989999999</v>
      </c>
      <c r="F158" s="13">
        <f>1-Table1[[#This Row],[one-year conditional mortality AT ISSUE]]</f>
        <v>1.000000082740371E-10</v>
      </c>
      <c r="G158" s="13">
        <f>PRODUCT(F$17:F158)</f>
        <v>0</v>
      </c>
      <c r="H158" s="13">
        <f>Table1[[#This Row],[one-year conditional survival AT ISSUE]]*(1-Table1[[#This Row],[Lapse rate]])</f>
        <v>9.6800008009267909E-11</v>
      </c>
      <c r="I158" s="13">
        <f>PRODUCT(H$17:H158)</f>
        <v>0</v>
      </c>
      <c r="J158" s="13">
        <f>G157*Table1[[#This Row],[one-year conditional mortality AT ISSUE]]</f>
        <v>0</v>
      </c>
      <c r="K158" s="10">
        <f>I157*Table1[[#This Row],[one-year conditional mortality AT ISSUE]]</f>
        <v>0</v>
      </c>
      <c r="L158" s="3">
        <f t="shared" si="6"/>
        <v>1.9910109748700498E-3</v>
      </c>
      <c r="M158" s="44">
        <v>1</v>
      </c>
      <c r="N158" s="44">
        <f>Table1[[#This Row],[one-year conditional mortality AT ISSUE]]/Table1[[#This Row],[one-year conditional persistency AT ISSUE]]</f>
        <v>10330577656.607809</v>
      </c>
      <c r="O158" s="4">
        <f>(1+$B$14)^(Table1[[#This Row],[age since issue]]-$A$17)</f>
        <v>127.81720625878593</v>
      </c>
      <c r="P158" s="5">
        <f>(Table1[[#This Row],[level premium unmarked-up]]*Table1[[#This Row],[unconditional persistency AT ISSUE]]-Table1[[#This Row],[Death benefit pay probability]])</f>
        <v>0</v>
      </c>
      <c r="Q158" s="4">
        <f>Table1[[#This Row],[Issuer profit with unmarked-up level premium]]/Table1[[#This Row],[Issuer discounter at issue]]</f>
        <v>0</v>
      </c>
      <c r="R158" s="4">
        <f>(Table1[[#This Row],[variable premium unmarked up]]*Table1[[#This Row],[unconditional persistency AT ISSUE]]-Table1[[#This Row],[Death benefit pay probability]])</f>
        <v>0</v>
      </c>
      <c r="S158" s="6">
        <f>Table1[[#This Row],[level premium unmarked-up]]*(1+$B$15)</f>
        <v>1.9910109748700498E-3</v>
      </c>
      <c r="T158" s="6">
        <f>MIN(Table1[[#This Row],[variable premium unmarked up]]*(1+$B$15),1)</f>
        <v>1</v>
      </c>
      <c r="U158" s="6">
        <f>Table1[[#This Row],[level premium marked up]]-Table1[[#This Row],[variable premium marked up]]</f>
        <v>-0.99800898902512991</v>
      </c>
      <c r="V158" s="6">
        <f>Table1[[#This Row],[additional cash]]+V157*(1+$D$2)</f>
        <v>-66.467704332157467</v>
      </c>
      <c r="W158" s="12">
        <v>0.5</v>
      </c>
      <c r="X158" s="13">
        <f>1-Table1[[#This Row],[one-year conditional mortality NOW]]</f>
        <v>0.5</v>
      </c>
      <c r="Y158" s="49">
        <f>PRODUCT(X$17:X158)</f>
        <v>4.3822620269199402E-20</v>
      </c>
      <c r="Z158" s="13">
        <f>Table1[[#This Row],[one-year conditional survival NOW]]*(1-Table1[[#This Row],[Lapse rate]])</f>
        <v>0.48399999999999999</v>
      </c>
      <c r="AA158" s="13">
        <f>PRODUCT(Z$17:Z158)</f>
        <v>4.2939273238910818E-22</v>
      </c>
      <c r="AB158" s="50">
        <f>Y157*Table1[[#This Row],[one-year conditional mortality NOW]]</f>
        <v>4.3822620269199402E-20</v>
      </c>
      <c r="AC158" s="14">
        <v>1.9699999999999999E-2</v>
      </c>
      <c r="AD158" s="28">
        <f>(1+Table1[[#This Row],[Yield curve now]])^(Table1[[#This Row],[age since issue]]-$A$23)</f>
        <v>13.924403696539423</v>
      </c>
      <c r="AE158" s="46">
        <f t="shared" si="7"/>
        <v>80.896961961245367</v>
      </c>
      <c r="AF158" s="42">
        <f>1-Table1[[#This Row],[cumulative debt until t]]</f>
        <v>-79.896961961245367</v>
      </c>
      <c r="AG158" s="46">
        <f>Table1[[#This Row],[cumulative debt until t]]*Table1[[#This Row],[Unconditional mortality NOW]]/Table1[[#This Row],[discouter with yield curve]]</f>
        <v>2.5459739046782864E-19</v>
      </c>
      <c r="AH158" s="48">
        <f>Table1[[#This Row],[Unconditional mortality NOW]]/Table1[[#This Row],[discouter with yield curve]]</f>
        <v>3.1471811090977249E-21</v>
      </c>
      <c r="AI158" s="29">
        <f>Table1[[#This Row],[user profit (death benefit - debt)]]*Table1[[#This Row],[Unconditional mortality NOW]]/Table1[[#This Row],[discouter with yield curve]]</f>
        <v>-2.5145020935873092E-19</v>
      </c>
      <c r="AJ158" s="29">
        <f>(1+$D$4)^(Table1[[#This Row],[age since issue]]-$A$23)</f>
        <v>156389808.45896459</v>
      </c>
      <c r="AK158" s="57">
        <f>Table1[[#This Row],[level premium marked up]]*Table1[[#This Row],[unconditional survival NOW]]</f>
        <v>8.7251317903538702E-23</v>
      </c>
      <c r="AL158" s="62">
        <f>Table1[[#This Row],[cumulative debt until t]]*Table1[[#This Row],[Unconditional mortality NOW]]</f>
        <v>3.545116844959524E-18</v>
      </c>
      <c r="AM158" s="47">
        <f>Table1[[#This Row],[probablistic premium stream]]/Table1[[#This Row],[lender discounter]]</f>
        <v>5.5790923183100344E-31</v>
      </c>
      <c r="AN158" s="58">
        <f>Table1[[#This Row],[probablistic repay from borrower]]/Table1[[#This Row],[lender discounter]]</f>
        <v>2.266846465183653E-26</v>
      </c>
      <c r="AO158" s="47">
        <f>(Table1[[#This Row],[probablistic repay from borrower]]-Table1[[#This Row],[probablistic premium stream]])/Table1[[#This Row],[lender discounter]]</f>
        <v>2.2667906742604698E-26</v>
      </c>
      <c r="AP158" s="46">
        <f>AP157*(1+$D$4)+ Table1[[#This Row],[level premium marked up]]</f>
        <v>2387199.311723711</v>
      </c>
      <c r="AQ158" s="58">
        <f>AP158*Table1[[#This Row],[Unconditional mortality NOW]]</f>
        <v>1.0461332894456236E-13</v>
      </c>
      <c r="AR158" s="60">
        <f>Table1[[#This Row],[cumulative debt until t]]*Table1[[#This Row],[Unconditional mortality NOW]]</f>
        <v>3.545116844959524E-18</v>
      </c>
      <c r="AS158" s="58">
        <f>Table1[[#This Row],[lender to pay cumulative probablistic undiscounted]]/Table1[[#This Row],[lender discounter]]</f>
        <v>6.6892676687440311E-22</v>
      </c>
    </row>
    <row r="159" spans="1:45" s="3" customFormat="1">
      <c r="A159" s="3">
        <v>163</v>
      </c>
      <c r="B159" s="8">
        <v>3.2000000000000001E-2</v>
      </c>
      <c r="C159" s="3">
        <v>0</v>
      </c>
      <c r="D159" s="8">
        <v>3.2000000000000001E-2</v>
      </c>
      <c r="E159" s="12">
        <v>0.99999999989999999</v>
      </c>
      <c r="F159" s="13">
        <f>1-Table1[[#This Row],[one-year conditional mortality AT ISSUE]]</f>
        <v>1.000000082740371E-10</v>
      </c>
      <c r="G159" s="13">
        <f>PRODUCT(F$17:F159)</f>
        <v>0</v>
      </c>
      <c r="H159" s="13">
        <f>Table1[[#This Row],[one-year conditional survival AT ISSUE]]*(1-Table1[[#This Row],[Lapse rate]])</f>
        <v>9.6800008009267909E-11</v>
      </c>
      <c r="I159" s="13">
        <f>PRODUCT(H$17:H159)</f>
        <v>0</v>
      </c>
      <c r="J159" s="13">
        <f>G158*Table1[[#This Row],[one-year conditional mortality AT ISSUE]]</f>
        <v>0</v>
      </c>
      <c r="K159" s="10">
        <f>I158*Table1[[#This Row],[one-year conditional mortality AT ISSUE]]</f>
        <v>0</v>
      </c>
      <c r="L159" s="3">
        <f t="shared" si="6"/>
        <v>1.9910109748700498E-3</v>
      </c>
      <c r="M159" s="44">
        <v>1</v>
      </c>
      <c r="N159" s="44">
        <f>Table1[[#This Row],[one-year conditional mortality AT ISSUE]]/Table1[[#This Row],[one-year conditional persistency AT ISSUE]]</f>
        <v>10330577656.607809</v>
      </c>
      <c r="O159" s="4">
        <f>(1+$B$14)^(Table1[[#This Row],[age since issue]]-$A$17)</f>
        <v>132.29080847784346</v>
      </c>
      <c r="P159" s="5">
        <f>(Table1[[#This Row],[level premium unmarked-up]]*Table1[[#This Row],[unconditional persistency AT ISSUE]]-Table1[[#This Row],[Death benefit pay probability]])</f>
        <v>0</v>
      </c>
      <c r="Q159" s="4">
        <f>Table1[[#This Row],[Issuer profit with unmarked-up level premium]]/Table1[[#This Row],[Issuer discounter at issue]]</f>
        <v>0</v>
      </c>
      <c r="R159" s="4">
        <f>(Table1[[#This Row],[variable premium unmarked up]]*Table1[[#This Row],[unconditional persistency AT ISSUE]]-Table1[[#This Row],[Death benefit pay probability]])</f>
        <v>0</v>
      </c>
      <c r="S159" s="6">
        <f>Table1[[#This Row],[level premium unmarked-up]]*(1+$B$15)</f>
        <v>1.9910109748700498E-3</v>
      </c>
      <c r="T159" s="6">
        <f>MIN(Table1[[#This Row],[variable premium unmarked up]]*(1+$B$15),1)</f>
        <v>1</v>
      </c>
      <c r="U159" s="6">
        <f>Table1[[#This Row],[level premium marked up]]-Table1[[#This Row],[variable premium marked up]]</f>
        <v>-0.99800898902512991</v>
      </c>
      <c r="V159" s="6">
        <f>Table1[[#This Row],[additional cash]]+V158*(1+$D$2)</f>
        <v>-67.532181025514745</v>
      </c>
      <c r="W159" s="12">
        <v>0.5</v>
      </c>
      <c r="X159" s="13">
        <f>1-Table1[[#This Row],[one-year conditional mortality NOW]]</f>
        <v>0.5</v>
      </c>
      <c r="Y159" s="49">
        <f>PRODUCT(X$17:X159)</f>
        <v>2.1911310134599701E-20</v>
      </c>
      <c r="Z159" s="13">
        <f>Table1[[#This Row],[one-year conditional survival NOW]]*(1-Table1[[#This Row],[Lapse rate]])</f>
        <v>0.48399999999999999</v>
      </c>
      <c r="AA159" s="13">
        <f>PRODUCT(Z$17:Z159)</f>
        <v>2.0782608247632835E-22</v>
      </c>
      <c r="AB159" s="50">
        <f>Y158*Table1[[#This Row],[one-year conditional mortality NOW]]</f>
        <v>2.1911310134599701E-20</v>
      </c>
      <c r="AC159" s="14">
        <v>1.9699999999999999E-2</v>
      </c>
      <c r="AD159" s="28">
        <f>(1+Table1[[#This Row],[Yield curve now]])^(Table1[[#This Row],[age since issue]]-$A$23)</f>
        <v>14.198714449361253</v>
      </c>
      <c r="AE159" s="46">
        <f t="shared" si="7"/>
        <v>85.662051280336172</v>
      </c>
      <c r="AF159" s="42">
        <f>1-Table1[[#This Row],[cumulative debt until t]]</f>
        <v>-84.662051280336172</v>
      </c>
      <c r="AG159" s="46">
        <f>Table1[[#This Row],[cumulative debt until t]]*Table1[[#This Row],[Unconditional mortality NOW]]/Table1[[#This Row],[discouter with yield curve]]</f>
        <v>1.3219279668335517E-19</v>
      </c>
      <c r="AH159" s="48">
        <f>Table1[[#This Row],[Unconditional mortality NOW]]/Table1[[#This Row],[discouter with yield curve]]</f>
        <v>1.5431897171215672E-21</v>
      </c>
      <c r="AI159" s="29">
        <f>Table1[[#This Row],[user profit (death benefit - debt)]]*Table1[[#This Row],[Unconditional mortality NOW]]/Table1[[#This Row],[discouter with yield curve]]</f>
        <v>-1.3064960696623359E-19</v>
      </c>
      <c r="AJ159" s="29">
        <f>(1+$D$4)^(Table1[[#This Row],[age since issue]]-$A$23)</f>
        <v>179848279.72780925</v>
      </c>
      <c r="AK159" s="57">
        <f>Table1[[#This Row],[level premium marked up]]*Table1[[#This Row],[unconditional survival NOW]]</f>
        <v>4.3625658951769351E-23</v>
      </c>
      <c r="AL159" s="62">
        <f>Table1[[#This Row],[cumulative debt until t]]*Table1[[#This Row],[Unconditional mortality NOW]]</f>
        <v>1.8769677723694295E-18</v>
      </c>
      <c r="AM159" s="47">
        <f>Table1[[#This Row],[probablistic premium stream]]/Table1[[#This Row],[lender discounter]]</f>
        <v>2.4256923123087111E-31</v>
      </c>
      <c r="AN159" s="58">
        <f>Table1[[#This Row],[probablistic repay from borrower]]/Table1[[#This Row],[lender discounter]]</f>
        <v>1.0436395472951533E-26</v>
      </c>
      <c r="AO159" s="47">
        <f>(Table1[[#This Row],[probablistic repay from borrower]]-Table1[[#This Row],[probablistic premium stream]])/Table1[[#This Row],[lender discounter]]</f>
        <v>1.0436152903720303E-26</v>
      </c>
      <c r="AP159" s="46">
        <f>AP158*(1+$D$4)+ Table1[[#This Row],[level premium marked up]]</f>
        <v>2745279.2104732785</v>
      </c>
      <c r="AQ159" s="58">
        <f>AP159*Table1[[#This Row],[Unconditional mortality NOW]]</f>
        <v>6.0152664186749012E-14</v>
      </c>
      <c r="AR159" s="60">
        <f>Table1[[#This Row],[cumulative debt until t]]*Table1[[#This Row],[Unconditional mortality NOW]]</f>
        <v>1.8769677723694295E-18</v>
      </c>
      <c r="AS159" s="58">
        <f>Table1[[#This Row],[lender to pay cumulative probablistic undiscounted]]/Table1[[#This Row],[lender discounter]]</f>
        <v>3.3446338367977083E-22</v>
      </c>
    </row>
    <row r="160" spans="1:45" s="3" customFormat="1">
      <c r="A160" s="3">
        <v>164</v>
      </c>
      <c r="B160" s="8">
        <v>3.2000000000000001E-2</v>
      </c>
      <c r="C160" s="3">
        <v>0</v>
      </c>
      <c r="D160" s="8">
        <v>3.2000000000000001E-2</v>
      </c>
      <c r="E160" s="12">
        <v>0.99999999989999999</v>
      </c>
      <c r="F160" s="13">
        <f>1-Table1[[#This Row],[one-year conditional mortality AT ISSUE]]</f>
        <v>1.000000082740371E-10</v>
      </c>
      <c r="G160" s="13">
        <f>PRODUCT(F$17:F160)</f>
        <v>0</v>
      </c>
      <c r="H160" s="13">
        <f>Table1[[#This Row],[one-year conditional survival AT ISSUE]]*(1-Table1[[#This Row],[Lapse rate]])</f>
        <v>9.6800008009267909E-11</v>
      </c>
      <c r="I160" s="13">
        <f>PRODUCT(H$17:H160)</f>
        <v>0</v>
      </c>
      <c r="J160" s="13">
        <f>G159*Table1[[#This Row],[one-year conditional mortality AT ISSUE]]</f>
        <v>0</v>
      </c>
      <c r="K160" s="10">
        <f>I159*Table1[[#This Row],[one-year conditional mortality AT ISSUE]]</f>
        <v>0</v>
      </c>
      <c r="L160" s="3">
        <f t="shared" si="6"/>
        <v>1.9910109748700498E-3</v>
      </c>
      <c r="M160" s="44">
        <v>1</v>
      </c>
      <c r="N160" s="44">
        <f>Table1[[#This Row],[one-year conditional mortality AT ISSUE]]/Table1[[#This Row],[one-year conditional persistency AT ISSUE]]</f>
        <v>10330577656.607809</v>
      </c>
      <c r="O160" s="4">
        <f>(1+$B$14)^(Table1[[#This Row],[age since issue]]-$A$17)</f>
        <v>136.92098677456795</v>
      </c>
      <c r="P160" s="5">
        <f>(Table1[[#This Row],[level premium unmarked-up]]*Table1[[#This Row],[unconditional persistency AT ISSUE]]-Table1[[#This Row],[Death benefit pay probability]])</f>
        <v>0</v>
      </c>
      <c r="Q160" s="4">
        <f>Table1[[#This Row],[Issuer profit with unmarked-up level premium]]/Table1[[#This Row],[Issuer discounter at issue]]</f>
        <v>0</v>
      </c>
      <c r="R160" s="4">
        <f>(Table1[[#This Row],[variable premium unmarked up]]*Table1[[#This Row],[unconditional persistency AT ISSUE]]-Table1[[#This Row],[Death benefit pay probability]])</f>
        <v>0</v>
      </c>
      <c r="S160" s="6">
        <f>Table1[[#This Row],[level premium unmarked-up]]*(1+$B$15)</f>
        <v>1.9910109748700498E-3</v>
      </c>
      <c r="T160" s="6">
        <f>MIN(Table1[[#This Row],[variable premium unmarked up]]*(1+$B$15),1)</f>
        <v>1</v>
      </c>
      <c r="U160" s="6">
        <f>Table1[[#This Row],[level premium marked up]]-Table1[[#This Row],[variable premium marked up]]</f>
        <v>-0.99800898902512991</v>
      </c>
      <c r="V160" s="6">
        <f>Table1[[#This Row],[additional cash]]+V159*(1+$D$2)</f>
        <v>-68.597722195565382</v>
      </c>
      <c r="W160" s="12">
        <v>0.5</v>
      </c>
      <c r="X160" s="13">
        <f>1-Table1[[#This Row],[one-year conditional mortality NOW]]</f>
        <v>0.5</v>
      </c>
      <c r="Y160" s="49">
        <f>PRODUCT(X$17:X160)</f>
        <v>1.0955655067299851E-20</v>
      </c>
      <c r="Z160" s="13">
        <f>Table1[[#This Row],[one-year conditional survival NOW]]*(1-Table1[[#This Row],[Lapse rate]])</f>
        <v>0.48399999999999999</v>
      </c>
      <c r="AA160" s="13">
        <f>PRODUCT(Z$17:Z160)</f>
        <v>1.0058782391854292E-22</v>
      </c>
      <c r="AB160" s="50">
        <f>Y159*Table1[[#This Row],[one-year conditional mortality NOW]]</f>
        <v>1.0955655067299851E-20</v>
      </c>
      <c r="AC160" s="14">
        <v>1.9699999999999999E-2</v>
      </c>
      <c r="AD160" s="28">
        <f>(1+Table1[[#This Row],[Yield curve now]])^(Table1[[#This Row],[age since issue]]-$A$23)</f>
        <v>14.478429124013669</v>
      </c>
      <c r="AE160" s="46">
        <f t="shared" si="7"/>
        <v>90.707695390804517</v>
      </c>
      <c r="AF160" s="42">
        <f>1-Table1[[#This Row],[cumulative debt until t]]</f>
        <v>-89.707695390804517</v>
      </c>
      <c r="AG160" s="46">
        <f>Table1[[#This Row],[cumulative debt until t]]*Table1[[#This Row],[Unconditional mortality NOW]]/Table1[[#This Row],[discouter with yield curve]]</f>
        <v>6.8637433946692605E-20</v>
      </c>
      <c r="AH160" s="48">
        <f>Table1[[#This Row],[Unconditional mortality NOW]]/Table1[[#This Row],[discouter with yield curve]]</f>
        <v>7.5668810293300351E-22</v>
      </c>
      <c r="AI160" s="29">
        <f>Table1[[#This Row],[user profit (death benefit - debt)]]*Table1[[#This Row],[Unconditional mortality NOW]]/Table1[[#This Row],[discouter with yield curve]]</f>
        <v>-6.7880745843759607E-20</v>
      </c>
      <c r="AJ160" s="29">
        <f>(1+$D$4)^(Table1[[#This Row],[age since issue]]-$A$23)</f>
        <v>206825521.68698063</v>
      </c>
      <c r="AK160" s="57">
        <f>Table1[[#This Row],[level premium marked up]]*Table1[[#This Row],[unconditional survival NOW]]</f>
        <v>2.1812829475884676E-23</v>
      </c>
      <c r="AL160" s="62">
        <f>Table1[[#This Row],[cumulative debt until t]]*Table1[[#This Row],[Unconditional mortality NOW]]</f>
        <v>9.9376222265135876E-19</v>
      </c>
      <c r="AM160" s="47">
        <f>Table1[[#This Row],[probablistic premium stream]]/Table1[[#This Row],[lender discounter]]</f>
        <v>1.0546488314385701E-31</v>
      </c>
      <c r="AN160" s="58">
        <f>Table1[[#This Row],[probablistic repay from borrower]]/Table1[[#This Row],[lender discounter]]</f>
        <v>4.8048336324535652E-27</v>
      </c>
      <c r="AO160" s="47">
        <f>(Table1[[#This Row],[probablistic repay from borrower]]-Table1[[#This Row],[probablistic premium stream]])/Table1[[#This Row],[lender discounter]]</f>
        <v>4.8047281675704213E-27</v>
      </c>
      <c r="AP160" s="46">
        <f>AP159*(1+$D$4)+ Table1[[#This Row],[level premium marked up]]</f>
        <v>3157071.0940352813</v>
      </c>
      <c r="AQ160" s="58">
        <f>AP160*Table1[[#This Row],[Unconditional mortality NOW]]</f>
        <v>3.4587781929193514E-14</v>
      </c>
      <c r="AR160" s="60">
        <f>Table1[[#This Row],[cumulative debt until t]]*Table1[[#This Row],[Unconditional mortality NOW]]</f>
        <v>9.9376222265135876E-19</v>
      </c>
      <c r="AS160" s="58">
        <f>Table1[[#This Row],[lender to pay cumulative probablistic undiscounted]]/Table1[[#This Row],[lender discounter]]</f>
        <v>1.672316919453503E-22</v>
      </c>
    </row>
    <row r="161" spans="1:45" s="3" customFormat="1">
      <c r="A161" s="3">
        <v>165</v>
      </c>
      <c r="B161" s="8">
        <v>3.2000000000000001E-2</v>
      </c>
      <c r="C161" s="3">
        <v>0</v>
      </c>
      <c r="D161" s="8">
        <v>3.2000000000000001E-2</v>
      </c>
      <c r="E161" s="12">
        <v>0.99999999989999999</v>
      </c>
      <c r="F161" s="13">
        <f>1-Table1[[#This Row],[one-year conditional mortality AT ISSUE]]</f>
        <v>1.000000082740371E-10</v>
      </c>
      <c r="G161" s="13">
        <f>PRODUCT(F$17:F161)</f>
        <v>0</v>
      </c>
      <c r="H161" s="13">
        <f>Table1[[#This Row],[one-year conditional survival AT ISSUE]]*(1-Table1[[#This Row],[Lapse rate]])</f>
        <v>9.6800008009267909E-11</v>
      </c>
      <c r="I161" s="13">
        <f>PRODUCT(H$17:H161)</f>
        <v>0</v>
      </c>
      <c r="J161" s="13">
        <f>G160*Table1[[#This Row],[one-year conditional mortality AT ISSUE]]</f>
        <v>0</v>
      </c>
      <c r="K161" s="10">
        <f>I160*Table1[[#This Row],[one-year conditional mortality AT ISSUE]]</f>
        <v>0</v>
      </c>
      <c r="L161" s="3">
        <f t="shared" si="6"/>
        <v>1.9910109748700498E-3</v>
      </c>
      <c r="M161" s="44">
        <v>1</v>
      </c>
      <c r="N161" s="44">
        <f>Table1[[#This Row],[one-year conditional mortality AT ISSUE]]/Table1[[#This Row],[one-year conditional persistency AT ISSUE]]</f>
        <v>10330577656.607809</v>
      </c>
      <c r="O161" s="4">
        <f>(1+$B$14)^(Table1[[#This Row],[age since issue]]-$A$17)</f>
        <v>141.71322131167781</v>
      </c>
      <c r="P161" s="5">
        <f>(Table1[[#This Row],[level premium unmarked-up]]*Table1[[#This Row],[unconditional persistency AT ISSUE]]-Table1[[#This Row],[Death benefit pay probability]])</f>
        <v>0</v>
      </c>
      <c r="Q161" s="4">
        <f>Table1[[#This Row],[Issuer profit with unmarked-up level premium]]/Table1[[#This Row],[Issuer discounter at issue]]</f>
        <v>0</v>
      </c>
      <c r="R161" s="4">
        <f>(Table1[[#This Row],[variable premium unmarked up]]*Table1[[#This Row],[unconditional persistency AT ISSUE]]-Table1[[#This Row],[Death benefit pay probability]])</f>
        <v>0</v>
      </c>
      <c r="S161" s="6">
        <f>Table1[[#This Row],[level premium unmarked-up]]*(1+$B$15)</f>
        <v>1.9910109748700498E-3</v>
      </c>
      <c r="T161" s="6">
        <f>MIN(Table1[[#This Row],[variable premium unmarked up]]*(1+$B$15),1)</f>
        <v>1</v>
      </c>
      <c r="U161" s="6">
        <f>Table1[[#This Row],[level premium marked up]]-Table1[[#This Row],[variable premium marked up]]</f>
        <v>-0.99800898902512991</v>
      </c>
      <c r="V161" s="6">
        <f>Table1[[#This Row],[additional cash]]+V160*(1+$D$2)</f>
        <v>-69.664328906786068</v>
      </c>
      <c r="W161" s="12">
        <v>0.5</v>
      </c>
      <c r="X161" s="13">
        <f>1-Table1[[#This Row],[one-year conditional mortality NOW]]</f>
        <v>0.5</v>
      </c>
      <c r="Y161" s="49">
        <f>PRODUCT(X$17:X161)</f>
        <v>5.4778275336499253E-21</v>
      </c>
      <c r="Z161" s="13">
        <f>Table1[[#This Row],[one-year conditional survival NOW]]*(1-Table1[[#This Row],[Lapse rate]])</f>
        <v>0.48399999999999999</v>
      </c>
      <c r="AA161" s="13">
        <f>PRODUCT(Z$17:Z161)</f>
        <v>4.8684506776574773E-23</v>
      </c>
      <c r="AB161" s="50">
        <f>Y160*Table1[[#This Row],[one-year conditional mortality NOW]]</f>
        <v>5.4778275336499253E-21</v>
      </c>
      <c r="AC161" s="14">
        <v>1.9699999999999999E-2</v>
      </c>
      <c r="AD161" s="28">
        <f>(1+Table1[[#This Row],[Yield curve now]])^(Table1[[#This Row],[age since issue]]-$A$23)</f>
        <v>14.763654177756738</v>
      </c>
      <c r="AE161" s="46">
        <f t="shared" si="7"/>
        <v>96.050412554049942</v>
      </c>
      <c r="AF161" s="42">
        <f>1-Table1[[#This Row],[cumulative debt until t]]</f>
        <v>-95.050412554049942</v>
      </c>
      <c r="AG161" s="46">
        <f>Table1[[#This Row],[cumulative debt until t]]*Table1[[#This Row],[Unconditional mortality NOW]]/Table1[[#This Row],[discouter with yield curve]]</f>
        <v>3.5638032981002449E-20</v>
      </c>
      <c r="AH161" s="48">
        <f>Table1[[#This Row],[Unconditional mortality NOW]]/Table1[[#This Row],[discouter with yield curve]]</f>
        <v>3.7103466849710868E-22</v>
      </c>
      <c r="AI161" s="29">
        <f>Table1[[#This Row],[user profit (death benefit - debt)]]*Table1[[#This Row],[Unconditional mortality NOW]]/Table1[[#This Row],[discouter with yield curve]]</f>
        <v>-3.5266998312505338E-20</v>
      </c>
      <c r="AJ161" s="29">
        <f>(1+$D$4)^(Table1[[#This Row],[age since issue]]-$A$23)</f>
        <v>237849349.94002771</v>
      </c>
      <c r="AK161" s="57">
        <f>Table1[[#This Row],[level premium marked up]]*Table1[[#This Row],[unconditional survival NOW]]</f>
        <v>1.0906414737942338E-23</v>
      </c>
      <c r="AL161" s="62">
        <f>Table1[[#This Row],[cumulative debt until t]]*Table1[[#This Row],[Unconditional mortality NOW]]</f>
        <v>5.2614759450700926E-19</v>
      </c>
      <c r="AM161" s="47">
        <f>Table1[[#This Row],[probablistic premium stream]]/Table1[[#This Row],[lender discounter]]</f>
        <v>4.5854297019068269E-32</v>
      </c>
      <c r="AN161" s="58">
        <f>Table1[[#This Row],[probablistic repay from borrower]]/Table1[[#This Row],[lender discounter]]</f>
        <v>2.2121044040678446E-27</v>
      </c>
      <c r="AO161" s="47">
        <f>(Table1[[#This Row],[probablistic repay from borrower]]-Table1[[#This Row],[probablistic premium stream]])/Table1[[#This Row],[lender discounter]]</f>
        <v>2.2120585497708259E-27</v>
      </c>
      <c r="AP161" s="46">
        <f>AP160*(1+$D$4)+ Table1[[#This Row],[level premium marked up]]</f>
        <v>3630631.7601315845</v>
      </c>
      <c r="AQ161" s="58">
        <f>AP161*Table1[[#This Row],[Unconditional mortality NOW]]</f>
        <v>1.9887974620192684E-14</v>
      </c>
      <c r="AR161" s="60">
        <f>Table1[[#This Row],[cumulative debt until t]]*Table1[[#This Row],[Unconditional mortality NOW]]</f>
        <v>5.2614759450700926E-19</v>
      </c>
      <c r="AS161" s="58">
        <f>Table1[[#This Row],[lender to pay cumulative probablistic undiscounted]]/Table1[[#This Row],[lender discounter]]</f>
        <v>8.3615846018529445E-23</v>
      </c>
    </row>
    <row r="162" spans="1:45" s="3" customFormat="1">
      <c r="A162" s="3">
        <v>166</v>
      </c>
      <c r="B162" s="8">
        <v>3.2000000000000001E-2</v>
      </c>
      <c r="C162" s="3">
        <v>0</v>
      </c>
      <c r="D162" s="8">
        <v>3.2000000000000001E-2</v>
      </c>
      <c r="E162" s="12">
        <v>0.99999999989999999</v>
      </c>
      <c r="F162" s="13">
        <f>1-Table1[[#This Row],[one-year conditional mortality AT ISSUE]]</f>
        <v>1.000000082740371E-10</v>
      </c>
      <c r="G162" s="13">
        <f>PRODUCT(F$17:F162)</f>
        <v>0</v>
      </c>
      <c r="H162" s="13">
        <f>Table1[[#This Row],[one-year conditional survival AT ISSUE]]*(1-Table1[[#This Row],[Lapse rate]])</f>
        <v>9.6800008009267909E-11</v>
      </c>
      <c r="I162" s="13">
        <f>PRODUCT(H$17:H162)</f>
        <v>0</v>
      </c>
      <c r="J162" s="13">
        <f>G161*Table1[[#This Row],[one-year conditional mortality AT ISSUE]]</f>
        <v>0</v>
      </c>
      <c r="K162" s="10">
        <f>I161*Table1[[#This Row],[one-year conditional mortality AT ISSUE]]</f>
        <v>0</v>
      </c>
      <c r="L162" s="3">
        <f t="shared" si="6"/>
        <v>1.9910109748700498E-3</v>
      </c>
      <c r="M162" s="44">
        <v>1</v>
      </c>
      <c r="N162" s="44">
        <f>Table1[[#This Row],[one-year conditional mortality AT ISSUE]]/Table1[[#This Row],[one-year conditional persistency AT ISSUE]]</f>
        <v>10330577656.607809</v>
      </c>
      <c r="O162" s="4">
        <f>(1+$B$14)^(Table1[[#This Row],[age since issue]]-$A$17)</f>
        <v>146.67318405758652</v>
      </c>
      <c r="P162" s="5">
        <f>(Table1[[#This Row],[level premium unmarked-up]]*Table1[[#This Row],[unconditional persistency AT ISSUE]]-Table1[[#This Row],[Death benefit pay probability]])</f>
        <v>0</v>
      </c>
      <c r="Q162" s="4">
        <f>Table1[[#This Row],[Issuer profit with unmarked-up level premium]]/Table1[[#This Row],[Issuer discounter at issue]]</f>
        <v>0</v>
      </c>
      <c r="R162" s="4">
        <f>(Table1[[#This Row],[variable premium unmarked up]]*Table1[[#This Row],[unconditional persistency AT ISSUE]]-Table1[[#This Row],[Death benefit pay probability]])</f>
        <v>0</v>
      </c>
      <c r="S162" s="6">
        <f>Table1[[#This Row],[level premium unmarked-up]]*(1+$B$15)</f>
        <v>1.9910109748700498E-3</v>
      </c>
      <c r="T162" s="6">
        <f>MIN(Table1[[#This Row],[variable premium unmarked up]]*(1+$B$15),1)</f>
        <v>1</v>
      </c>
      <c r="U162" s="6">
        <f>Table1[[#This Row],[level premium marked up]]-Table1[[#This Row],[variable premium marked up]]</f>
        <v>-0.99800898902512991</v>
      </c>
      <c r="V162" s="6">
        <f>Table1[[#This Row],[additional cash]]+V161*(1+$D$2)</f>
        <v>-70.732002224717974</v>
      </c>
      <c r="W162" s="12">
        <v>0.5</v>
      </c>
      <c r="X162" s="13">
        <f>1-Table1[[#This Row],[one-year conditional mortality NOW]]</f>
        <v>0.5</v>
      </c>
      <c r="Y162" s="49">
        <f>PRODUCT(X$17:X162)</f>
        <v>2.7389137668249626E-21</v>
      </c>
      <c r="Z162" s="13">
        <f>Table1[[#This Row],[one-year conditional survival NOW]]*(1-Table1[[#This Row],[Lapse rate]])</f>
        <v>0.48399999999999999</v>
      </c>
      <c r="AA162" s="13">
        <f>PRODUCT(Z$17:Z162)</f>
        <v>2.3563301279862188E-23</v>
      </c>
      <c r="AB162" s="50">
        <f>Y161*Table1[[#This Row],[one-year conditional mortality NOW]]</f>
        <v>2.7389137668249626E-21</v>
      </c>
      <c r="AC162" s="14">
        <v>1.9699999999999999E-2</v>
      </c>
      <c r="AD162" s="28">
        <f>(1+Table1[[#This Row],[Yield curve now]])^(Table1[[#This Row],[age since issue]]-$A$23)</f>
        <v>15.054498165058547</v>
      </c>
      <c r="AE162" s="46">
        <f t="shared" si="7"/>
        <v>101.70769357932377</v>
      </c>
      <c r="AF162" s="42">
        <f>1-Table1[[#This Row],[cumulative debt until t]]</f>
        <v>-100.70769357932377</v>
      </c>
      <c r="AG162" s="46">
        <f>Table1[[#This Row],[cumulative debt until t]]*Table1[[#This Row],[Unconditional mortality NOW]]/Table1[[#This Row],[discouter with yield curve]]</f>
        <v>1.8504011165445672E-20</v>
      </c>
      <c r="AH162" s="48">
        <f>Table1[[#This Row],[Unconditional mortality NOW]]/Table1[[#This Row],[discouter with yield curve]]</f>
        <v>1.8193324923855481E-22</v>
      </c>
      <c r="AI162" s="29">
        <f>Table1[[#This Row],[user profit (death benefit - debt)]]*Table1[[#This Row],[Unconditional mortality NOW]]/Table1[[#This Row],[discouter with yield curve]]</f>
        <v>-1.8322077916207119E-20</v>
      </c>
      <c r="AJ162" s="29">
        <f>(1+$D$4)^(Table1[[#This Row],[age since issue]]-$A$23)</f>
        <v>273526752.43103182</v>
      </c>
      <c r="AK162" s="57">
        <f>Table1[[#This Row],[level premium marked up]]*Table1[[#This Row],[unconditional survival NOW]]</f>
        <v>5.4532073689711689E-24</v>
      </c>
      <c r="AL162" s="62">
        <f>Table1[[#This Row],[cumulative debt until t]]*Table1[[#This Row],[Unconditional mortality NOW]]</f>
        <v>2.7856860213642475E-19</v>
      </c>
      <c r="AM162" s="47">
        <f>Table1[[#This Row],[probablistic premium stream]]/Table1[[#This Row],[lender discounter]]</f>
        <v>1.9936650877855771E-32</v>
      </c>
      <c r="AN162" s="58">
        <f>Table1[[#This Row],[probablistic repay from borrower]]/Table1[[#This Row],[lender discounter]]</f>
        <v>1.0184327480240318E-27</v>
      </c>
      <c r="AO162" s="47">
        <f>(Table1[[#This Row],[probablistic repay from borrower]]-Table1[[#This Row],[probablistic premium stream]])/Table1[[#This Row],[lender discounter]]</f>
        <v>1.0184128113731539E-27</v>
      </c>
      <c r="AP162" s="46">
        <f>AP161*(1+$D$4)+ Table1[[#This Row],[level premium marked up]]</f>
        <v>4175226.5261423332</v>
      </c>
      <c r="AQ162" s="58">
        <f>AP162*Table1[[#This Row],[Unconditional mortality NOW]]</f>
        <v>1.1435585412064002E-14</v>
      </c>
      <c r="AR162" s="60">
        <f>Table1[[#This Row],[cumulative debt until t]]*Table1[[#This Row],[Unconditional mortality NOW]]</f>
        <v>2.7856860213642475E-19</v>
      </c>
      <c r="AS162" s="58">
        <f>Table1[[#This Row],[lender to pay cumulative probablistic undiscounted]]/Table1[[#This Row],[lender discounter]]</f>
        <v>4.1807923029201389E-23</v>
      </c>
    </row>
    <row r="163" spans="1:45" s="3" customFormat="1">
      <c r="A163" s="3">
        <v>167</v>
      </c>
      <c r="B163" s="8">
        <v>3.2000000000000001E-2</v>
      </c>
      <c r="C163" s="3">
        <v>0</v>
      </c>
      <c r="D163" s="8">
        <v>3.2000000000000001E-2</v>
      </c>
      <c r="E163" s="12">
        <v>0.99999999989999999</v>
      </c>
      <c r="F163" s="13">
        <f>1-Table1[[#This Row],[one-year conditional mortality AT ISSUE]]</f>
        <v>1.000000082740371E-10</v>
      </c>
      <c r="G163" s="13">
        <f>PRODUCT(F$17:F163)</f>
        <v>0</v>
      </c>
      <c r="H163" s="13">
        <f>Table1[[#This Row],[one-year conditional survival AT ISSUE]]*(1-Table1[[#This Row],[Lapse rate]])</f>
        <v>9.6800008009267909E-11</v>
      </c>
      <c r="I163" s="13">
        <f>PRODUCT(H$17:H163)</f>
        <v>0</v>
      </c>
      <c r="J163" s="13">
        <f>G162*Table1[[#This Row],[one-year conditional mortality AT ISSUE]]</f>
        <v>0</v>
      </c>
      <c r="K163" s="10">
        <f>I162*Table1[[#This Row],[one-year conditional mortality AT ISSUE]]</f>
        <v>0</v>
      </c>
      <c r="L163" s="3">
        <f t="shared" si="6"/>
        <v>1.9910109748700498E-3</v>
      </c>
      <c r="M163" s="44">
        <v>1</v>
      </c>
      <c r="N163" s="44">
        <f>Table1[[#This Row],[one-year conditional mortality AT ISSUE]]/Table1[[#This Row],[one-year conditional persistency AT ISSUE]]</f>
        <v>10330577656.607809</v>
      </c>
      <c r="O163" s="4">
        <f>(1+$B$14)^(Table1[[#This Row],[age since issue]]-$A$17)</f>
        <v>151.80674549960204</v>
      </c>
      <c r="P163" s="5">
        <f>(Table1[[#This Row],[level premium unmarked-up]]*Table1[[#This Row],[unconditional persistency AT ISSUE]]-Table1[[#This Row],[Death benefit pay probability]])</f>
        <v>0</v>
      </c>
      <c r="Q163" s="4">
        <f>Table1[[#This Row],[Issuer profit with unmarked-up level premium]]/Table1[[#This Row],[Issuer discounter at issue]]</f>
        <v>0</v>
      </c>
      <c r="R163" s="4">
        <f>(Table1[[#This Row],[variable premium unmarked up]]*Table1[[#This Row],[unconditional persistency AT ISSUE]]-Table1[[#This Row],[Death benefit pay probability]])</f>
        <v>0</v>
      </c>
      <c r="S163" s="6">
        <f>Table1[[#This Row],[level premium unmarked-up]]*(1+$B$15)</f>
        <v>1.9910109748700498E-3</v>
      </c>
      <c r="T163" s="6">
        <f>MIN(Table1[[#This Row],[variable premium unmarked up]]*(1+$B$15),1)</f>
        <v>1</v>
      </c>
      <c r="U163" s="6">
        <f>Table1[[#This Row],[level premium marked up]]-Table1[[#This Row],[variable premium marked up]]</f>
        <v>-0.99800898902512991</v>
      </c>
      <c r="V163" s="6">
        <f>Table1[[#This Row],[additional cash]]+V162*(1+$D$2)</f>
        <v>-71.800743215967813</v>
      </c>
      <c r="W163" s="12">
        <v>0.5</v>
      </c>
      <c r="X163" s="13">
        <f>1-Table1[[#This Row],[one-year conditional mortality NOW]]</f>
        <v>0.5</v>
      </c>
      <c r="Y163" s="49">
        <f>PRODUCT(X$17:X163)</f>
        <v>1.3694568834124813E-21</v>
      </c>
      <c r="Z163" s="13">
        <f>Table1[[#This Row],[one-year conditional survival NOW]]*(1-Table1[[#This Row],[Lapse rate]])</f>
        <v>0.48399999999999999</v>
      </c>
      <c r="AA163" s="13">
        <f>PRODUCT(Z$17:Z163)</f>
        <v>1.1404637819453299E-23</v>
      </c>
      <c r="AB163" s="50">
        <f>Y162*Table1[[#This Row],[one-year conditional mortality NOW]]</f>
        <v>1.3694568834124813E-21</v>
      </c>
      <c r="AC163" s="14">
        <v>1.9699999999999999E-2</v>
      </c>
      <c r="AD163" s="28">
        <f>(1+Table1[[#This Row],[Yield curve now]])^(Table1[[#This Row],[age since issue]]-$A$23)</f>
        <v>15.351071778910203</v>
      </c>
      <c r="AE163" s="46">
        <f t="shared" si="7"/>
        <v>107.69805908455709</v>
      </c>
      <c r="AF163" s="42">
        <f>1-Table1[[#This Row],[cumulative debt until t]]</f>
        <v>-106.69805908455709</v>
      </c>
      <c r="AG163" s="46">
        <f>Table1[[#This Row],[cumulative debt until t]]*Table1[[#This Row],[Unconditional mortality NOW]]/Table1[[#This Row],[discouter with yield curve]]</f>
        <v>9.6076580493965482E-21</v>
      </c>
      <c r="AH163" s="48">
        <f>Table1[[#This Row],[Unconditional mortality NOW]]/Table1[[#This Row],[discouter with yield curve]]</f>
        <v>8.9209203313991749E-23</v>
      </c>
      <c r="AI163" s="29">
        <f>Table1[[#This Row],[user profit (death benefit - debt)]]*Table1[[#This Row],[Unconditional mortality NOW]]/Table1[[#This Row],[discouter with yield curve]]</f>
        <v>-9.5184488460825567E-21</v>
      </c>
      <c r="AJ163" s="29">
        <f>(1+$D$4)^(Table1[[#This Row],[age since issue]]-$A$23)</f>
        <v>314555765.29568654</v>
      </c>
      <c r="AK163" s="57">
        <f>Table1[[#This Row],[level premium marked up]]*Table1[[#This Row],[unconditional survival NOW]]</f>
        <v>2.7266036844855844E-24</v>
      </c>
      <c r="AL163" s="62">
        <f>Table1[[#This Row],[cumulative debt until t]]*Table1[[#This Row],[Unconditional mortality NOW]]</f>
        <v>1.4748784834351081E-19</v>
      </c>
      <c r="AM163" s="47">
        <f>Table1[[#This Row],[probablistic premium stream]]/Table1[[#This Row],[lender discounter]]</f>
        <v>8.6681090773285979E-33</v>
      </c>
      <c r="AN163" s="58">
        <f>Table1[[#This Row],[probablistic repay from borrower]]/Table1[[#This Row],[lender discounter]]</f>
        <v>4.688766337023589E-28</v>
      </c>
      <c r="AO163" s="47">
        <f>(Table1[[#This Row],[probablistic repay from borrower]]-Table1[[#This Row],[probablistic premium stream]])/Table1[[#This Row],[lender discounter]]</f>
        <v>4.688679655932816E-28</v>
      </c>
      <c r="AP163" s="46">
        <f>AP162*(1+$D$4)+ Table1[[#This Row],[level premium marked up]]</f>
        <v>4801510.507054694</v>
      </c>
      <c r="AQ163" s="58">
        <f>AP163*Table1[[#This Row],[Unconditional mortality NOW]]</f>
        <v>6.5754616146634044E-15</v>
      </c>
      <c r="AR163" s="60">
        <f>Table1[[#This Row],[cumulative debt until t]]*Table1[[#This Row],[Unconditional mortality NOW]]</f>
        <v>1.4748784834351081E-19</v>
      </c>
      <c r="AS163" s="58">
        <f>Table1[[#This Row],[lender to pay cumulative probablistic undiscounted]]/Table1[[#This Row],[lender discounter]]</f>
        <v>2.0903961523268804E-23</v>
      </c>
    </row>
    <row r="164" spans="1:45" s="3" customFormat="1">
      <c r="A164" s="3">
        <v>168</v>
      </c>
      <c r="B164" s="8">
        <v>3.2000000000000001E-2</v>
      </c>
      <c r="C164" s="3">
        <v>0</v>
      </c>
      <c r="D164" s="8">
        <v>3.2000000000000001E-2</v>
      </c>
      <c r="E164" s="12">
        <v>0.99999999989999999</v>
      </c>
      <c r="F164" s="13">
        <f>1-Table1[[#This Row],[one-year conditional mortality AT ISSUE]]</f>
        <v>1.000000082740371E-10</v>
      </c>
      <c r="G164" s="13">
        <f>PRODUCT(F$17:F164)</f>
        <v>0</v>
      </c>
      <c r="H164" s="13">
        <f>Table1[[#This Row],[one-year conditional survival AT ISSUE]]*(1-Table1[[#This Row],[Lapse rate]])</f>
        <v>9.6800008009267909E-11</v>
      </c>
      <c r="I164" s="13">
        <f>PRODUCT(H$17:H164)</f>
        <v>0</v>
      </c>
      <c r="J164" s="13">
        <f>G163*Table1[[#This Row],[one-year conditional mortality AT ISSUE]]</f>
        <v>0</v>
      </c>
      <c r="K164" s="10">
        <f>I163*Table1[[#This Row],[one-year conditional mortality AT ISSUE]]</f>
        <v>0</v>
      </c>
      <c r="L164" s="3">
        <f t="shared" si="6"/>
        <v>1.9910109748700498E-3</v>
      </c>
      <c r="M164" s="44">
        <v>1</v>
      </c>
      <c r="N164" s="44">
        <f>Table1[[#This Row],[one-year conditional mortality AT ISSUE]]/Table1[[#This Row],[one-year conditional persistency AT ISSUE]]</f>
        <v>10330577656.607809</v>
      </c>
      <c r="O164" s="4">
        <f>(1+$B$14)^(Table1[[#This Row],[age since issue]]-$A$17)</f>
        <v>157.1199815920881</v>
      </c>
      <c r="P164" s="5">
        <f>(Table1[[#This Row],[level premium unmarked-up]]*Table1[[#This Row],[unconditional persistency AT ISSUE]]-Table1[[#This Row],[Death benefit pay probability]])</f>
        <v>0</v>
      </c>
      <c r="Q164" s="4">
        <f>Table1[[#This Row],[Issuer profit with unmarked-up level premium]]/Table1[[#This Row],[Issuer discounter at issue]]</f>
        <v>0</v>
      </c>
      <c r="R164" s="4">
        <f>(Table1[[#This Row],[variable premium unmarked up]]*Table1[[#This Row],[unconditional persistency AT ISSUE]]-Table1[[#This Row],[Death benefit pay probability]])</f>
        <v>0</v>
      </c>
      <c r="S164" s="6">
        <f>Table1[[#This Row],[level premium unmarked-up]]*(1+$B$15)</f>
        <v>1.9910109748700498E-3</v>
      </c>
      <c r="T164" s="6">
        <f>MIN(Table1[[#This Row],[variable premium unmarked up]]*(1+$B$15),1)</f>
        <v>1</v>
      </c>
      <c r="U164" s="6">
        <f>Table1[[#This Row],[level premium marked up]]-Table1[[#This Row],[variable premium marked up]]</f>
        <v>-0.99800898902512991</v>
      </c>
      <c r="V164" s="6">
        <f>Table1[[#This Row],[additional cash]]+V163*(1+$D$2)</f>
        <v>-72.870552948208896</v>
      </c>
      <c r="W164" s="12">
        <v>0.5</v>
      </c>
      <c r="X164" s="13">
        <f>1-Table1[[#This Row],[one-year conditional mortality NOW]]</f>
        <v>0.5</v>
      </c>
      <c r="Y164" s="49">
        <f>PRODUCT(X$17:X164)</f>
        <v>6.8472844170624066E-22</v>
      </c>
      <c r="Z164" s="13">
        <f>Table1[[#This Row],[one-year conditional survival NOW]]*(1-Table1[[#This Row],[Lapse rate]])</f>
        <v>0.48399999999999999</v>
      </c>
      <c r="AA164" s="13">
        <f>PRODUCT(Z$17:Z164)</f>
        <v>5.5198447046153964E-24</v>
      </c>
      <c r="AB164" s="50">
        <f>Y163*Table1[[#This Row],[one-year conditional mortality NOW]]</f>
        <v>6.8472844170624066E-22</v>
      </c>
      <c r="AC164" s="14">
        <v>1.9699999999999999E-2</v>
      </c>
      <c r="AD164" s="28">
        <f>(1+Table1[[#This Row],[Yield curve now]])^(Table1[[#This Row],[age since issue]]-$A$23)</f>
        <v>15.653487892954734</v>
      </c>
      <c r="AE164" s="46">
        <f t="shared" si="7"/>
        <v>114.04112012854193</v>
      </c>
      <c r="AF164" s="42">
        <f>1-Table1[[#This Row],[cumulative debt until t]]</f>
        <v>-113.04112012854193</v>
      </c>
      <c r="AG164" s="46">
        <f>Table1[[#This Row],[cumulative debt until t]]*Table1[[#This Row],[Unconditional mortality NOW]]/Table1[[#This Row],[discouter with yield curve]]</f>
        <v>4.9884855701198653E-21</v>
      </c>
      <c r="AH164" s="48">
        <f>Table1[[#This Row],[Unconditional mortality NOW]]/Table1[[#This Row],[discouter with yield curve]]</f>
        <v>4.3742867173674486E-23</v>
      </c>
      <c r="AI164" s="29">
        <f>Table1[[#This Row],[user profit (death benefit - debt)]]*Table1[[#This Row],[Unconditional mortality NOW]]/Table1[[#This Row],[discouter with yield curve]]</f>
        <v>-4.9447427029461909E-21</v>
      </c>
      <c r="AJ164" s="29">
        <f>(1+$D$4)^(Table1[[#This Row],[age since issue]]-$A$23)</f>
        <v>361739130.09003955</v>
      </c>
      <c r="AK164" s="57">
        <f>Table1[[#This Row],[level premium marked up]]*Table1[[#This Row],[unconditional survival NOW]]</f>
        <v>1.3633018422427922E-24</v>
      </c>
      <c r="AL164" s="62">
        <f>Table1[[#This Row],[cumulative debt until t]]*Table1[[#This Row],[Unconditional mortality NOW]]</f>
        <v>7.8087198476050711E-20</v>
      </c>
      <c r="AM164" s="47">
        <f>Table1[[#This Row],[probablistic premium stream]]/Table1[[#This Row],[lender discounter]]</f>
        <v>3.7687430770993902E-33</v>
      </c>
      <c r="AN164" s="58">
        <f>Table1[[#This Row],[probablistic repay from borrower]]/Table1[[#This Row],[lender discounter]]</f>
        <v>2.1586605368519082E-28</v>
      </c>
      <c r="AO164" s="47">
        <f>(Table1[[#This Row],[probablistic repay from borrower]]-Table1[[#This Row],[probablistic premium stream]])/Table1[[#This Row],[lender discounter]]</f>
        <v>2.1586228494211378E-28</v>
      </c>
      <c r="AP164" s="46">
        <f>AP163*(1+$D$4)+ Table1[[#This Row],[level premium marked up]]</f>
        <v>5521737.0851039086</v>
      </c>
      <c r="AQ164" s="58">
        <f>AP164*Table1[[#This Row],[Unconditional mortality NOW]]</f>
        <v>3.7808904297947586E-15</v>
      </c>
      <c r="AR164" s="60">
        <f>Table1[[#This Row],[cumulative debt until t]]*Table1[[#This Row],[Unconditional mortality NOW]]</f>
        <v>7.8087198476050711E-20</v>
      </c>
      <c r="AS164" s="58">
        <f>Table1[[#This Row],[lender to pay cumulative probablistic undiscounted]]/Table1[[#This Row],[lender discounter]]</f>
        <v>1.0451980765403143E-23</v>
      </c>
    </row>
    <row r="165" spans="1:45" s="3" customFormat="1">
      <c r="A165" s="3">
        <v>169</v>
      </c>
      <c r="B165" s="8">
        <v>3.2000000000000001E-2</v>
      </c>
      <c r="C165" s="3">
        <v>0</v>
      </c>
      <c r="D165" s="8">
        <v>3.2000000000000001E-2</v>
      </c>
      <c r="E165" s="12">
        <v>0.99999999989999999</v>
      </c>
      <c r="F165" s="13">
        <f>1-Table1[[#This Row],[one-year conditional mortality AT ISSUE]]</f>
        <v>1.000000082740371E-10</v>
      </c>
      <c r="G165" s="13">
        <f>PRODUCT(F$17:F165)</f>
        <v>0</v>
      </c>
      <c r="H165" s="13">
        <f>Table1[[#This Row],[one-year conditional survival AT ISSUE]]*(1-Table1[[#This Row],[Lapse rate]])</f>
        <v>9.6800008009267909E-11</v>
      </c>
      <c r="I165" s="13">
        <f>PRODUCT(H$17:H165)</f>
        <v>0</v>
      </c>
      <c r="J165" s="13">
        <f>G164*Table1[[#This Row],[one-year conditional mortality AT ISSUE]]</f>
        <v>0</v>
      </c>
      <c r="K165" s="10">
        <f>I164*Table1[[#This Row],[one-year conditional mortality AT ISSUE]]</f>
        <v>0</v>
      </c>
      <c r="L165" s="3">
        <f t="shared" si="6"/>
        <v>1.9910109748700498E-3</v>
      </c>
      <c r="M165" s="44">
        <v>1</v>
      </c>
      <c r="N165" s="44">
        <f>Table1[[#This Row],[one-year conditional mortality AT ISSUE]]/Table1[[#This Row],[one-year conditional persistency AT ISSUE]]</f>
        <v>10330577656.607809</v>
      </c>
      <c r="O165" s="4">
        <f>(1+$B$14)^(Table1[[#This Row],[age since issue]]-$A$17)</f>
        <v>162.61918094781117</v>
      </c>
      <c r="P165" s="5">
        <f>(Table1[[#This Row],[level premium unmarked-up]]*Table1[[#This Row],[unconditional persistency AT ISSUE]]-Table1[[#This Row],[Death benefit pay probability]])</f>
        <v>0</v>
      </c>
      <c r="Q165" s="4">
        <f>Table1[[#This Row],[Issuer profit with unmarked-up level premium]]/Table1[[#This Row],[Issuer discounter at issue]]</f>
        <v>0</v>
      </c>
      <c r="R165" s="4">
        <f>(Table1[[#This Row],[variable premium unmarked up]]*Table1[[#This Row],[unconditional persistency AT ISSUE]]-Table1[[#This Row],[Death benefit pay probability]])</f>
        <v>0</v>
      </c>
      <c r="S165" s="6">
        <f>Table1[[#This Row],[level premium unmarked-up]]*(1+$B$15)</f>
        <v>1.9910109748700498E-3</v>
      </c>
      <c r="T165" s="6">
        <f>MIN(Table1[[#This Row],[variable premium unmarked up]]*(1+$B$15),1)</f>
        <v>1</v>
      </c>
      <c r="U165" s="6">
        <f>Table1[[#This Row],[level premium marked up]]-Table1[[#This Row],[variable premium marked up]]</f>
        <v>-0.99800898902512991</v>
      </c>
      <c r="V165" s="6">
        <f>Table1[[#This Row],[additional cash]]+V164*(1+$D$2)</f>
        <v>-73.941432490182223</v>
      </c>
      <c r="W165" s="12">
        <v>0.5</v>
      </c>
      <c r="X165" s="13">
        <f>1-Table1[[#This Row],[one-year conditional mortality NOW]]</f>
        <v>0.5</v>
      </c>
      <c r="Y165" s="49">
        <f>PRODUCT(X$17:X165)</f>
        <v>3.4236422085312033E-22</v>
      </c>
      <c r="Z165" s="13">
        <f>Table1[[#This Row],[one-year conditional survival NOW]]*(1-Table1[[#This Row],[Lapse rate]])</f>
        <v>0.48399999999999999</v>
      </c>
      <c r="AA165" s="13">
        <f>PRODUCT(Z$17:Z165)</f>
        <v>2.6716048370338517E-24</v>
      </c>
      <c r="AB165" s="50">
        <f>Y164*Table1[[#This Row],[one-year conditional mortality NOW]]</f>
        <v>3.4236422085312033E-22</v>
      </c>
      <c r="AC165" s="14">
        <v>1.9699999999999999E-2</v>
      </c>
      <c r="AD165" s="28">
        <f>(1+Table1[[#This Row],[Yield curve now]])^(Table1[[#This Row],[age since issue]]-$A$23)</f>
        <v>15.961861604445941</v>
      </c>
      <c r="AE165" s="46">
        <f t="shared" si="7"/>
        <v>120.75764241296156</v>
      </c>
      <c r="AF165" s="42">
        <f>1-Table1[[#This Row],[cumulative debt until t]]</f>
        <v>-119.75764241296156</v>
      </c>
      <c r="AG165" s="46">
        <f>Table1[[#This Row],[cumulative debt until t]]*Table1[[#This Row],[Unconditional mortality NOW]]/Table1[[#This Row],[discouter with yield curve]]</f>
        <v>2.5901174425204757E-21</v>
      </c>
      <c r="AH165" s="48">
        <f>Table1[[#This Row],[Unconditional mortality NOW]]/Table1[[#This Row],[discouter with yield curve]]</f>
        <v>2.1448890445069377E-23</v>
      </c>
      <c r="AI165" s="29">
        <f>Table1[[#This Row],[user profit (death benefit - debt)]]*Table1[[#This Row],[Unconditional mortality NOW]]/Table1[[#This Row],[discouter with yield curve]]</f>
        <v>-2.5686685520754066E-21</v>
      </c>
      <c r="AJ165" s="29">
        <f>(1+$D$4)^(Table1[[#This Row],[age since issue]]-$A$23)</f>
        <v>415999999.60354549</v>
      </c>
      <c r="AK165" s="57">
        <f>Table1[[#This Row],[level premium marked up]]*Table1[[#This Row],[unconditional survival NOW]]</f>
        <v>6.8165092112139611E-25</v>
      </c>
      <c r="AL165" s="62">
        <f>Table1[[#This Row],[cumulative debt until t]]*Table1[[#This Row],[Unconditional mortality NOW]]</f>
        <v>4.13430961567733E-20</v>
      </c>
      <c r="AM165" s="47">
        <f>Table1[[#This Row],[probablistic premium stream]]/Table1[[#This Row],[lender discounter]]</f>
        <v>1.6385839465649523E-33</v>
      </c>
      <c r="AN165" s="58">
        <f>Table1[[#This Row],[probablistic repay from borrower]]/Table1[[#This Row],[lender discounter]]</f>
        <v>9.9382442779264222E-29</v>
      </c>
      <c r="AO165" s="47">
        <f>(Table1[[#This Row],[probablistic repay from borrower]]-Table1[[#This Row],[probablistic premium stream]])/Table1[[#This Row],[lender discounter]]</f>
        <v>9.9380804195317668E-29</v>
      </c>
      <c r="AP165" s="46">
        <f>AP164*(1+$D$4)+ Table1[[#This Row],[level premium marked up]]</f>
        <v>6349997.6498605059</v>
      </c>
      <c r="AQ165" s="58">
        <f>AP165*Table1[[#This Row],[Unconditional mortality NOW]]</f>
        <v>2.1740119978136373E-15</v>
      </c>
      <c r="AR165" s="60">
        <f>Table1[[#This Row],[cumulative debt until t]]*Table1[[#This Row],[Unconditional mortality NOW]]</f>
        <v>4.13430961567733E-20</v>
      </c>
      <c r="AS165" s="58">
        <f>Table1[[#This Row],[lender to pay cumulative probablistic undiscounted]]/Table1[[#This Row],[lender discounter]]</f>
        <v>5.2259903843401555E-24</v>
      </c>
    </row>
    <row r="166" spans="1:45" s="3" customFormat="1">
      <c r="A166" s="3">
        <v>170</v>
      </c>
      <c r="B166" s="8">
        <v>3.2000000000000001E-2</v>
      </c>
      <c r="C166" s="3">
        <v>0</v>
      </c>
      <c r="D166" s="8">
        <v>3.2000000000000001E-2</v>
      </c>
      <c r="E166" s="12">
        <v>0.99999999989999999</v>
      </c>
      <c r="F166" s="13">
        <f>1-Table1[[#This Row],[one-year conditional mortality AT ISSUE]]</f>
        <v>1.000000082740371E-10</v>
      </c>
      <c r="G166" s="13">
        <f>PRODUCT(F$17:F166)</f>
        <v>0</v>
      </c>
      <c r="H166" s="13">
        <f>Table1[[#This Row],[one-year conditional survival AT ISSUE]]*(1-Table1[[#This Row],[Lapse rate]])</f>
        <v>9.6800008009267909E-11</v>
      </c>
      <c r="I166" s="13">
        <f>PRODUCT(H$17:H166)</f>
        <v>0</v>
      </c>
      <c r="J166" s="13">
        <f>G165*Table1[[#This Row],[one-year conditional mortality AT ISSUE]]</f>
        <v>0</v>
      </c>
      <c r="K166" s="10">
        <f>I165*Table1[[#This Row],[one-year conditional mortality AT ISSUE]]</f>
        <v>0</v>
      </c>
      <c r="L166" s="3">
        <f t="shared" si="6"/>
        <v>1.9910109748700498E-3</v>
      </c>
      <c r="M166" s="44">
        <v>1</v>
      </c>
      <c r="N166" s="44">
        <f>Table1[[#This Row],[one-year conditional mortality AT ISSUE]]/Table1[[#This Row],[one-year conditional persistency AT ISSUE]]</f>
        <v>10330577656.607809</v>
      </c>
      <c r="O166" s="4">
        <f>(1+$B$14)^(Table1[[#This Row],[age since issue]]-$A$17)</f>
        <v>168.31085228098453</v>
      </c>
      <c r="P166" s="5">
        <f>(Table1[[#This Row],[level premium unmarked-up]]*Table1[[#This Row],[unconditional persistency AT ISSUE]]-Table1[[#This Row],[Death benefit pay probability]])</f>
        <v>0</v>
      </c>
      <c r="Q166" s="4">
        <f>Table1[[#This Row],[Issuer profit with unmarked-up level premium]]/Table1[[#This Row],[Issuer discounter at issue]]</f>
        <v>0</v>
      </c>
      <c r="R166" s="4">
        <f>(Table1[[#This Row],[variable premium unmarked up]]*Table1[[#This Row],[unconditional persistency AT ISSUE]]-Table1[[#This Row],[Death benefit pay probability]])</f>
        <v>0</v>
      </c>
      <c r="S166" s="6">
        <f>Table1[[#This Row],[level premium unmarked-up]]*(1+$B$15)</f>
        <v>1.9910109748700498E-3</v>
      </c>
      <c r="T166" s="6">
        <f>MIN(Table1[[#This Row],[variable premium unmarked up]]*(1+$B$15),1)</f>
        <v>1</v>
      </c>
      <c r="U166" s="6">
        <f>Table1[[#This Row],[level premium marked up]]-Table1[[#This Row],[variable premium marked up]]</f>
        <v>-0.99800898902512991</v>
      </c>
      <c r="V166" s="6">
        <f>Table1[[#This Row],[additional cash]]+V165*(1+$D$2)</f>
        <v>-75.013382911697519</v>
      </c>
      <c r="W166" s="12">
        <v>0.5</v>
      </c>
      <c r="X166" s="13">
        <f>1-Table1[[#This Row],[one-year conditional mortality NOW]]</f>
        <v>0.5</v>
      </c>
      <c r="Y166" s="49">
        <f>PRODUCT(X$17:X166)</f>
        <v>1.7118211042656017E-22</v>
      </c>
      <c r="Z166" s="13">
        <f>Table1[[#This Row],[one-year conditional survival NOW]]*(1-Table1[[#This Row],[Lapse rate]])</f>
        <v>0.48399999999999999</v>
      </c>
      <c r="AA166" s="13">
        <f>PRODUCT(Z$17:Z166)</f>
        <v>1.2930567411243841E-24</v>
      </c>
      <c r="AB166" s="50">
        <f>Y165*Table1[[#This Row],[one-year conditional mortality NOW]]</f>
        <v>1.7118211042656017E-22</v>
      </c>
      <c r="AC166" s="14">
        <v>1.9699999999999999E-2</v>
      </c>
      <c r="AD166" s="28">
        <f>(1+Table1[[#This Row],[Yield curve now]])^(Table1[[#This Row],[age since issue]]-$A$23)</f>
        <v>16.276310278053526</v>
      </c>
      <c r="AE166" s="46">
        <f t="shared" si="7"/>
        <v>127.86961426445195</v>
      </c>
      <c r="AF166" s="42">
        <f>1-Table1[[#This Row],[cumulative debt until t]]</f>
        <v>-126.86961426445195</v>
      </c>
      <c r="AG166" s="46">
        <f>Table1[[#This Row],[cumulative debt until t]]*Table1[[#This Row],[Unconditional mortality NOW]]/Table1[[#This Row],[discouter with yield curve]]</f>
        <v>1.3448373774696043E-21</v>
      </c>
      <c r="AH166" s="48">
        <f>Table1[[#This Row],[Unconditional mortality NOW]]/Table1[[#This Row],[discouter with yield curve]]</f>
        <v>1.0517255293257517E-23</v>
      </c>
      <c r="AI166" s="29">
        <f>Table1[[#This Row],[user profit (death benefit - debt)]]*Table1[[#This Row],[Unconditional mortality NOW]]/Table1[[#This Row],[discouter with yield curve]]</f>
        <v>-1.3343201221763466E-21</v>
      </c>
      <c r="AJ166" s="29">
        <f>(1+$D$4)^(Table1[[#This Row],[age since issue]]-$A$23)</f>
        <v>478399999.54407722</v>
      </c>
      <c r="AK166" s="57">
        <f>Table1[[#This Row],[level premium marked up]]*Table1[[#This Row],[unconditional survival NOW]]</f>
        <v>3.4082546056069806E-25</v>
      </c>
      <c r="AL166" s="62">
        <f>Table1[[#This Row],[cumulative debt until t]]*Table1[[#This Row],[Unconditional mortality NOW]]</f>
        <v>2.1888990429219069E-20</v>
      </c>
      <c r="AM166" s="47">
        <f>Table1[[#This Row],[probablistic premium stream]]/Table1[[#This Row],[lender discounter]]</f>
        <v>7.1242780285432717E-34</v>
      </c>
      <c r="AN166" s="58">
        <f>Table1[[#This Row],[probablistic repay from borrower]]/Table1[[#This Row],[lender discounter]]</f>
        <v>4.5754578699999214E-29</v>
      </c>
      <c r="AO166" s="47">
        <f>(Table1[[#This Row],[probablistic repay from borrower]]-Table1[[#This Row],[probablistic premium stream]])/Table1[[#This Row],[lender discounter]]</f>
        <v>4.5753866272196362E-29</v>
      </c>
      <c r="AP166" s="46">
        <f>AP165*(1+$D$4)+ Table1[[#This Row],[level premium marked up]]</f>
        <v>7302497.2993305922</v>
      </c>
      <c r="AQ166" s="58">
        <f>AP166*Table1[[#This Row],[Unconditional mortality NOW]]</f>
        <v>1.2500568990836669E-15</v>
      </c>
      <c r="AR166" s="60">
        <f>Table1[[#This Row],[cumulative debt until t]]*Table1[[#This Row],[Unconditional mortality NOW]]</f>
        <v>2.1888990429219069E-20</v>
      </c>
      <c r="AS166" s="58">
        <f>Table1[[#This Row],[lender to pay cumulative probablistic undiscounted]]/Table1[[#This Row],[lender discounter]]</f>
        <v>2.6129951928825059E-24</v>
      </c>
    </row>
    <row r="167" spans="1:45" s="3" customFormat="1">
      <c r="A167" s="3">
        <v>171</v>
      </c>
      <c r="B167" s="8">
        <v>3.2000000000000001E-2</v>
      </c>
      <c r="C167" s="3">
        <v>0</v>
      </c>
      <c r="D167" s="8">
        <v>3.2000000000000001E-2</v>
      </c>
      <c r="E167" s="12">
        <v>0.99999999989999999</v>
      </c>
      <c r="F167" s="13">
        <f>1-Table1[[#This Row],[one-year conditional mortality AT ISSUE]]</f>
        <v>1.000000082740371E-10</v>
      </c>
      <c r="G167" s="13">
        <f>PRODUCT(F$17:F167)</f>
        <v>0</v>
      </c>
      <c r="H167" s="13">
        <f>Table1[[#This Row],[one-year conditional survival AT ISSUE]]*(1-Table1[[#This Row],[Lapse rate]])</f>
        <v>9.6800008009267909E-11</v>
      </c>
      <c r="I167" s="13">
        <f>PRODUCT(H$17:H167)</f>
        <v>0</v>
      </c>
      <c r="J167" s="13">
        <f>G166*Table1[[#This Row],[one-year conditional mortality AT ISSUE]]</f>
        <v>0</v>
      </c>
      <c r="K167" s="10">
        <f>I166*Table1[[#This Row],[one-year conditional mortality AT ISSUE]]</f>
        <v>0</v>
      </c>
      <c r="L167" s="3">
        <f t="shared" si="6"/>
        <v>1.9910109748700498E-3</v>
      </c>
      <c r="M167" s="44">
        <v>1</v>
      </c>
      <c r="N167" s="44">
        <f>Table1[[#This Row],[one-year conditional mortality AT ISSUE]]/Table1[[#This Row],[one-year conditional persistency AT ISSUE]]</f>
        <v>10330577656.607809</v>
      </c>
      <c r="O167" s="4">
        <f>(1+$B$14)^(Table1[[#This Row],[age since issue]]-$A$17)</f>
        <v>174.20173211081899</v>
      </c>
      <c r="P167" s="5">
        <f>(Table1[[#This Row],[level premium unmarked-up]]*Table1[[#This Row],[unconditional persistency AT ISSUE]]-Table1[[#This Row],[Death benefit pay probability]])</f>
        <v>0</v>
      </c>
      <c r="Q167" s="4">
        <f>Table1[[#This Row],[Issuer profit with unmarked-up level premium]]/Table1[[#This Row],[Issuer discounter at issue]]</f>
        <v>0</v>
      </c>
      <c r="R167" s="4">
        <f>(Table1[[#This Row],[variable premium unmarked up]]*Table1[[#This Row],[unconditional persistency AT ISSUE]]-Table1[[#This Row],[Death benefit pay probability]])</f>
        <v>0</v>
      </c>
      <c r="S167" s="6">
        <f>Table1[[#This Row],[level premium unmarked-up]]*(1+$B$15)</f>
        <v>1.9910109748700498E-3</v>
      </c>
      <c r="T167" s="6">
        <f>MIN(Table1[[#This Row],[variable premium unmarked up]]*(1+$B$15),1)</f>
        <v>1</v>
      </c>
      <c r="U167" s="6">
        <f>Table1[[#This Row],[level premium marked up]]-Table1[[#This Row],[variable premium marked up]]</f>
        <v>-0.99800898902512991</v>
      </c>
      <c r="V167" s="6">
        <f>Table1[[#This Row],[additional cash]]+V166*(1+$D$2)</f>
        <v>-76.086405283634335</v>
      </c>
      <c r="W167" s="12">
        <v>0.5</v>
      </c>
      <c r="X167" s="13">
        <f>1-Table1[[#This Row],[one-year conditional mortality NOW]]</f>
        <v>0.5</v>
      </c>
      <c r="Y167" s="49">
        <f>PRODUCT(X$17:X167)</f>
        <v>8.5591055213280083E-23</v>
      </c>
      <c r="Z167" s="13">
        <f>Table1[[#This Row],[one-year conditional survival NOW]]*(1-Table1[[#This Row],[Lapse rate]])</f>
        <v>0.48399999999999999</v>
      </c>
      <c r="AA167" s="13">
        <f>PRODUCT(Z$17:Z167)</f>
        <v>6.2583946270420191E-25</v>
      </c>
      <c r="AB167" s="50">
        <f>Y166*Table1[[#This Row],[one-year conditional mortality NOW]]</f>
        <v>8.5591055213280083E-23</v>
      </c>
      <c r="AC167" s="14">
        <v>1.9699999999999999E-2</v>
      </c>
      <c r="AD167" s="28">
        <f>(1+Table1[[#This Row],[Yield curve now]])^(Table1[[#This Row],[age since issue]]-$A$23)</f>
        <v>16.596953590531182</v>
      </c>
      <c r="AE167" s="46">
        <f t="shared" si="7"/>
        <v>135.40031861925218</v>
      </c>
      <c r="AF167" s="42">
        <f>1-Table1[[#This Row],[cumulative debt until t]]</f>
        <v>-134.40031861925218</v>
      </c>
      <c r="AG167" s="46">
        <f>Table1[[#This Row],[cumulative debt until t]]*Table1[[#This Row],[Unconditional mortality NOW]]/Table1[[#This Row],[discouter with yield curve]]</f>
        <v>6.9826405693198194E-22</v>
      </c>
      <c r="AH167" s="48">
        <f>Table1[[#This Row],[Unconditional mortality NOW]]/Table1[[#This Row],[discouter with yield curve]]</f>
        <v>5.1570340753444713E-24</v>
      </c>
      <c r="AI167" s="29">
        <f>Table1[[#This Row],[user profit (death benefit - debt)]]*Table1[[#This Row],[Unconditional mortality NOW]]/Table1[[#This Row],[discouter with yield curve]]</f>
        <v>-6.9310702285663749E-22</v>
      </c>
      <c r="AJ167" s="29">
        <f>(1+$D$4)^(Table1[[#This Row],[age since issue]]-$A$23)</f>
        <v>550159999.4756887</v>
      </c>
      <c r="AK167" s="57">
        <f>Table1[[#This Row],[level premium marked up]]*Table1[[#This Row],[unconditional survival NOW]]</f>
        <v>1.7041273028034903E-25</v>
      </c>
      <c r="AL167" s="62">
        <f>Table1[[#This Row],[cumulative debt until t]]*Table1[[#This Row],[Unconditional mortality NOW]]</f>
        <v>1.1589056146836128E-20</v>
      </c>
      <c r="AM167" s="47">
        <f>Table1[[#This Row],[probablistic premium stream]]/Table1[[#This Row],[lender discounter]]</f>
        <v>3.0975121863231621E-34</v>
      </c>
      <c r="AN167" s="58">
        <f>Table1[[#This Row],[probablistic repay from borrower]]/Table1[[#This Row],[lender discounter]]</f>
        <v>2.106488323011612E-29</v>
      </c>
      <c r="AO167" s="47">
        <f>(Table1[[#This Row],[probablistic repay from borrower]]-Table1[[#This Row],[probablistic premium stream]])/Table1[[#This Row],[lender discounter]]</f>
        <v>2.1064573478897489E-29</v>
      </c>
      <c r="AP167" s="46">
        <f>AP166*(1+$D$4)+ Table1[[#This Row],[level premium marked up]]</f>
        <v>8397871.8962211907</v>
      </c>
      <c r="AQ167" s="58">
        <f>AP167*Table1[[#This Row],[Unconditional mortality NOW]]</f>
        <v>7.1878271714352107E-16</v>
      </c>
      <c r="AR167" s="60">
        <f>Table1[[#This Row],[cumulative debt until t]]*Table1[[#This Row],[Unconditional mortality NOW]]</f>
        <v>1.1589056146836128E-20</v>
      </c>
      <c r="AS167" s="58">
        <f>Table1[[#This Row],[lender to pay cumulative probablistic undiscounted]]/Table1[[#This Row],[lender discounter]]</f>
        <v>1.3064975967510044E-24</v>
      </c>
    </row>
    <row r="168" spans="1:45" s="3" customFormat="1">
      <c r="A168" s="3">
        <v>172</v>
      </c>
      <c r="B168" s="8">
        <v>3.2000000000000001E-2</v>
      </c>
      <c r="C168" s="3">
        <v>0</v>
      </c>
      <c r="D168" s="8">
        <v>3.2000000000000001E-2</v>
      </c>
      <c r="E168" s="12">
        <v>0.99999999989999999</v>
      </c>
      <c r="F168" s="13">
        <f>1-Table1[[#This Row],[one-year conditional mortality AT ISSUE]]</f>
        <v>1.000000082740371E-10</v>
      </c>
      <c r="G168" s="13">
        <f>PRODUCT(F$17:F168)</f>
        <v>0</v>
      </c>
      <c r="H168" s="13">
        <f>Table1[[#This Row],[one-year conditional survival AT ISSUE]]*(1-Table1[[#This Row],[Lapse rate]])</f>
        <v>9.6800008009267909E-11</v>
      </c>
      <c r="I168" s="13">
        <f>PRODUCT(H$17:H168)</f>
        <v>0</v>
      </c>
      <c r="J168" s="13">
        <f>G167*Table1[[#This Row],[one-year conditional mortality AT ISSUE]]</f>
        <v>0</v>
      </c>
      <c r="K168" s="10">
        <f>I167*Table1[[#This Row],[one-year conditional mortality AT ISSUE]]</f>
        <v>0</v>
      </c>
      <c r="L168" s="3">
        <f t="shared" si="6"/>
        <v>1.9910109748700498E-3</v>
      </c>
      <c r="M168" s="44">
        <v>1</v>
      </c>
      <c r="N168" s="44">
        <f>Table1[[#This Row],[one-year conditional mortality AT ISSUE]]/Table1[[#This Row],[one-year conditional persistency AT ISSUE]]</f>
        <v>10330577656.607809</v>
      </c>
      <c r="O168" s="4">
        <f>(1+$B$14)^(Table1[[#This Row],[age since issue]]-$A$17)</f>
        <v>180.29879273469766</v>
      </c>
      <c r="P168" s="5">
        <f>(Table1[[#This Row],[level premium unmarked-up]]*Table1[[#This Row],[unconditional persistency AT ISSUE]]-Table1[[#This Row],[Death benefit pay probability]])</f>
        <v>0</v>
      </c>
      <c r="Q168" s="4">
        <f>Table1[[#This Row],[Issuer profit with unmarked-up level premium]]/Table1[[#This Row],[Issuer discounter at issue]]</f>
        <v>0</v>
      </c>
      <c r="R168" s="4">
        <f>(Table1[[#This Row],[variable premium unmarked up]]*Table1[[#This Row],[unconditional persistency AT ISSUE]]-Table1[[#This Row],[Death benefit pay probability]])</f>
        <v>0</v>
      </c>
      <c r="S168" s="6">
        <f>Table1[[#This Row],[level premium unmarked-up]]*(1+$B$15)</f>
        <v>1.9910109748700498E-3</v>
      </c>
      <c r="T168" s="6">
        <f>MIN(Table1[[#This Row],[variable premium unmarked up]]*(1+$B$15),1)</f>
        <v>1</v>
      </c>
      <c r="U168" s="6">
        <f>Table1[[#This Row],[level premium marked up]]-Table1[[#This Row],[variable premium marked up]]</f>
        <v>-0.99800898902512991</v>
      </c>
      <c r="V168" s="6">
        <f>Table1[[#This Row],[additional cash]]+V167*(1+$D$2)</f>
        <v>-77.160500677943091</v>
      </c>
      <c r="W168" s="12">
        <v>0.5</v>
      </c>
      <c r="X168" s="13">
        <f>1-Table1[[#This Row],[one-year conditional mortality NOW]]</f>
        <v>0.5</v>
      </c>
      <c r="Y168" s="49">
        <f>PRODUCT(X$17:X168)</f>
        <v>4.2795527606640041E-23</v>
      </c>
      <c r="Z168" s="13">
        <f>Table1[[#This Row],[one-year conditional survival NOW]]*(1-Table1[[#This Row],[Lapse rate]])</f>
        <v>0.48399999999999999</v>
      </c>
      <c r="AA168" s="13">
        <f>PRODUCT(Z$17:Z168)</f>
        <v>3.0290629994883371E-25</v>
      </c>
      <c r="AB168" s="50">
        <f>Y167*Table1[[#This Row],[one-year conditional mortality NOW]]</f>
        <v>4.2795527606640041E-23</v>
      </c>
      <c r="AC168" s="14">
        <v>1.9699999999999999E-2</v>
      </c>
      <c r="AD168" s="28">
        <f>(1+Table1[[#This Row],[Yield curve now]])^(Table1[[#This Row],[age since issue]]-$A$23)</f>
        <v>16.923913576264649</v>
      </c>
      <c r="AE168" s="46">
        <f t="shared" si="7"/>
        <v>143.37440924610448</v>
      </c>
      <c r="AF168" s="42">
        <f>1-Table1[[#This Row],[cumulative debt until t]]</f>
        <v>-142.37440924610448</v>
      </c>
      <c r="AG168" s="46">
        <f>Table1[[#This Row],[cumulative debt until t]]*Table1[[#This Row],[Unconditional mortality NOW]]/Table1[[#This Row],[discouter with yield curve]]</f>
        <v>3.6255110033075619E-22</v>
      </c>
      <c r="AH168" s="48">
        <f>Table1[[#This Row],[Unconditional mortality NOW]]/Table1[[#This Row],[discouter with yield curve]]</f>
        <v>2.5287016158401837E-24</v>
      </c>
      <c r="AI168" s="29">
        <f>Table1[[#This Row],[user profit (death benefit - debt)]]*Table1[[#This Row],[Unconditional mortality NOW]]/Table1[[#This Row],[discouter with yield curve]]</f>
        <v>-3.6002239871491602E-22</v>
      </c>
      <c r="AJ168" s="29">
        <f>(1+$D$4)^(Table1[[#This Row],[age since issue]]-$A$23)</f>
        <v>632683999.39704192</v>
      </c>
      <c r="AK168" s="57">
        <f>Table1[[#This Row],[level premium marked up]]*Table1[[#This Row],[unconditional survival NOW]]</f>
        <v>8.5206365140174514E-26</v>
      </c>
      <c r="AL168" s="62">
        <f>Table1[[#This Row],[cumulative debt until t]]*Table1[[#This Row],[Unconditional mortality NOW]]</f>
        <v>6.1357834889773715E-21</v>
      </c>
      <c r="AM168" s="47">
        <f>Table1[[#This Row],[probablistic premium stream]]/Table1[[#This Row],[lender discounter]]</f>
        <v>1.3467444288361578E-34</v>
      </c>
      <c r="AN168" s="58">
        <f>Table1[[#This Row],[probablistic repay from borrower]]/Table1[[#This Row],[lender discounter]]</f>
        <v>9.6980222272491041E-30</v>
      </c>
      <c r="AO168" s="47">
        <f>(Table1[[#This Row],[probablistic repay from borrower]]-Table1[[#This Row],[probablistic premium stream]])/Table1[[#This Row],[lender discounter]]</f>
        <v>9.697887552806222E-30</v>
      </c>
      <c r="AP168" s="46">
        <f>AP167*(1+$D$4)+ Table1[[#This Row],[level premium marked up]]</f>
        <v>9657552.6826453805</v>
      </c>
      <c r="AQ168" s="58">
        <f>AP168*Table1[[#This Row],[Unconditional mortality NOW]]</f>
        <v>4.1330006244273099E-16</v>
      </c>
      <c r="AR168" s="60">
        <f>Table1[[#This Row],[cumulative debt until t]]*Table1[[#This Row],[Unconditional mortality NOW]]</f>
        <v>6.1357834889773715E-21</v>
      </c>
      <c r="AS168" s="58">
        <f>Table1[[#This Row],[lender to pay cumulative probablistic undiscounted]]/Table1[[#This Row],[lender discounter]]</f>
        <v>6.5324879851017673E-25</v>
      </c>
    </row>
    <row r="169" spans="1:45" s="3" customFormat="1">
      <c r="A169" s="3">
        <v>173</v>
      </c>
      <c r="B169" s="8">
        <v>3.2000000000000001E-2</v>
      </c>
      <c r="C169" s="3">
        <v>0</v>
      </c>
      <c r="D169" s="8">
        <v>3.2000000000000001E-2</v>
      </c>
      <c r="E169" s="12">
        <v>0.99999999989999999</v>
      </c>
      <c r="F169" s="13">
        <f>1-Table1[[#This Row],[one-year conditional mortality AT ISSUE]]</f>
        <v>1.000000082740371E-10</v>
      </c>
      <c r="G169" s="13">
        <f>PRODUCT(F$17:F169)</f>
        <v>0</v>
      </c>
      <c r="H169" s="13">
        <f>Table1[[#This Row],[one-year conditional survival AT ISSUE]]*(1-Table1[[#This Row],[Lapse rate]])</f>
        <v>9.6800008009267909E-11</v>
      </c>
      <c r="I169" s="13">
        <f>PRODUCT(H$17:H169)</f>
        <v>0</v>
      </c>
      <c r="J169" s="13">
        <f>G168*Table1[[#This Row],[one-year conditional mortality AT ISSUE]]</f>
        <v>0</v>
      </c>
      <c r="K169" s="10">
        <f>I168*Table1[[#This Row],[one-year conditional mortality AT ISSUE]]</f>
        <v>0</v>
      </c>
      <c r="L169" s="3">
        <f t="shared" si="6"/>
        <v>1.9910109748700498E-3</v>
      </c>
      <c r="M169" s="44">
        <v>1</v>
      </c>
      <c r="N169" s="44">
        <f>Table1[[#This Row],[one-year conditional mortality AT ISSUE]]/Table1[[#This Row],[one-year conditional persistency AT ISSUE]]</f>
        <v>10330577656.607809</v>
      </c>
      <c r="O169" s="4">
        <f>(1+$B$14)^(Table1[[#This Row],[age since issue]]-$A$17)</f>
        <v>186.60925048041202</v>
      </c>
      <c r="P169" s="5">
        <f>(Table1[[#This Row],[level premium unmarked-up]]*Table1[[#This Row],[unconditional persistency AT ISSUE]]-Table1[[#This Row],[Death benefit pay probability]])</f>
        <v>0</v>
      </c>
      <c r="Q169" s="4">
        <f>Table1[[#This Row],[Issuer profit with unmarked-up level premium]]/Table1[[#This Row],[Issuer discounter at issue]]</f>
        <v>0</v>
      </c>
      <c r="R169" s="4">
        <f>(Table1[[#This Row],[variable premium unmarked up]]*Table1[[#This Row],[unconditional persistency AT ISSUE]]-Table1[[#This Row],[Death benefit pay probability]])</f>
        <v>0</v>
      </c>
      <c r="S169" s="6">
        <f>Table1[[#This Row],[level premium unmarked-up]]*(1+$B$15)</f>
        <v>1.9910109748700498E-3</v>
      </c>
      <c r="T169" s="6">
        <f>MIN(Table1[[#This Row],[variable premium unmarked up]]*(1+$B$15),1)</f>
        <v>1</v>
      </c>
      <c r="U169" s="6">
        <f>Table1[[#This Row],[level premium marked up]]-Table1[[#This Row],[variable premium marked up]]</f>
        <v>-0.99800898902512991</v>
      </c>
      <c r="V169" s="6">
        <f>Table1[[#This Row],[additional cash]]+V168*(1+$D$2)</f>
        <v>-78.235670167646148</v>
      </c>
      <c r="W169" s="12">
        <v>0.5</v>
      </c>
      <c r="X169" s="13">
        <f>1-Table1[[#This Row],[one-year conditional mortality NOW]]</f>
        <v>0.5</v>
      </c>
      <c r="Y169" s="49">
        <f>PRODUCT(X$17:X169)</f>
        <v>2.1397763803320021E-23</v>
      </c>
      <c r="Z169" s="13">
        <f>Table1[[#This Row],[one-year conditional survival NOW]]*(1-Table1[[#This Row],[Lapse rate]])</f>
        <v>0.48399999999999999</v>
      </c>
      <c r="AA169" s="13">
        <f>PRODUCT(Z$17:Z169)</f>
        <v>1.4660664917523551E-25</v>
      </c>
      <c r="AB169" s="50">
        <f>Y168*Table1[[#This Row],[one-year conditional mortality NOW]]</f>
        <v>2.1397763803320021E-23</v>
      </c>
      <c r="AC169" s="14">
        <v>1.9699999999999999E-2</v>
      </c>
      <c r="AD169" s="28">
        <f>(1+Table1[[#This Row],[Yield curve now]])^(Table1[[#This Row],[age since issue]]-$A$23)</f>
        <v>17.257314673717062</v>
      </c>
      <c r="AE169" s="46">
        <f t="shared" si="7"/>
        <v>151.81799145694015</v>
      </c>
      <c r="AF169" s="42">
        <f>1-Table1[[#This Row],[cumulative debt until t]]</f>
        <v>-150.81799145694015</v>
      </c>
      <c r="AG169" s="46">
        <f>Table1[[#This Row],[cumulative debt until t]]*Table1[[#This Row],[Unconditional mortality NOW]]/Table1[[#This Row],[discouter with yield curve]]</f>
        <v>1.8824281666704705E-22</v>
      </c>
      <c r="AH169" s="48">
        <f>Table1[[#This Row],[Unconditional mortality NOW]]/Table1[[#This Row],[discouter with yield curve]]</f>
        <v>1.2399242992253524E-24</v>
      </c>
      <c r="AI169" s="29">
        <f>Table1[[#This Row],[user profit (death benefit - debt)]]*Table1[[#This Row],[Unconditional mortality NOW]]/Table1[[#This Row],[discouter with yield curve]]</f>
        <v>-1.8700289236782172E-22</v>
      </c>
      <c r="AJ169" s="29">
        <f>(1+$D$4)^(Table1[[#This Row],[age since issue]]-$A$23)</f>
        <v>727586599.30659807</v>
      </c>
      <c r="AK169" s="57">
        <f>Table1[[#This Row],[level premium marked up]]*Table1[[#This Row],[unconditional survival NOW]]</f>
        <v>4.2603182570087257E-26</v>
      </c>
      <c r="AL169" s="62">
        <f>Table1[[#This Row],[cumulative debt until t]]*Table1[[#This Row],[Unconditional mortality NOW]]</f>
        <v>3.248565522290062E-21</v>
      </c>
      <c r="AM169" s="47">
        <f>Table1[[#This Row],[probablistic premium stream]]/Table1[[#This Row],[lender discounter]]</f>
        <v>5.8554105601572079E-35</v>
      </c>
      <c r="AN169" s="58">
        <f>Table1[[#This Row],[probablistic repay from borrower]]/Table1[[#This Row],[lender discounter]]</f>
        <v>4.4648506794737536E-30</v>
      </c>
      <c r="AO169" s="47">
        <f>(Table1[[#This Row],[probablistic repay from borrower]]-Table1[[#This Row],[probablistic premium stream]])/Table1[[#This Row],[lender discounter]]</f>
        <v>4.4647921253681522E-30</v>
      </c>
      <c r="AP169" s="46">
        <f>AP168*(1+$D$4)+ Table1[[#This Row],[level premium marked up]]</f>
        <v>11106185.587033197</v>
      </c>
      <c r="AQ169" s="58">
        <f>AP169*Table1[[#This Row],[Unconditional mortality NOW]]</f>
        <v>2.3764753594717348E-16</v>
      </c>
      <c r="AR169" s="60">
        <f>Table1[[#This Row],[cumulative debt until t]]*Table1[[#This Row],[Unconditional mortality NOW]]</f>
        <v>3.248565522290062E-21</v>
      </c>
      <c r="AS169" s="58">
        <f>Table1[[#This Row],[lender to pay cumulative probablistic undiscounted]]/Table1[[#This Row],[lender discounter]]</f>
        <v>3.2662439931364249E-25</v>
      </c>
    </row>
    <row r="170" spans="1:45" s="3" customFormat="1">
      <c r="A170" s="3">
        <v>174</v>
      </c>
      <c r="B170" s="8">
        <v>3.2000000000000001E-2</v>
      </c>
      <c r="C170" s="3">
        <v>0</v>
      </c>
      <c r="D170" s="8">
        <v>3.2000000000000001E-2</v>
      </c>
      <c r="E170" s="12">
        <v>0.99999999989999999</v>
      </c>
      <c r="F170" s="13">
        <f>1-Table1[[#This Row],[one-year conditional mortality AT ISSUE]]</f>
        <v>1.000000082740371E-10</v>
      </c>
      <c r="G170" s="13">
        <f>PRODUCT(F$17:F170)</f>
        <v>0</v>
      </c>
      <c r="H170" s="13">
        <f>Table1[[#This Row],[one-year conditional survival AT ISSUE]]*(1-Table1[[#This Row],[Lapse rate]])</f>
        <v>9.6800008009267909E-11</v>
      </c>
      <c r="I170" s="13">
        <f>PRODUCT(H$17:H170)</f>
        <v>0</v>
      </c>
      <c r="J170" s="13">
        <f>G169*Table1[[#This Row],[one-year conditional mortality AT ISSUE]]</f>
        <v>0</v>
      </c>
      <c r="K170" s="10">
        <f>I169*Table1[[#This Row],[one-year conditional mortality AT ISSUE]]</f>
        <v>0</v>
      </c>
      <c r="L170" s="3">
        <f t="shared" si="6"/>
        <v>1.9910109748700498E-3</v>
      </c>
      <c r="M170" s="44">
        <v>1</v>
      </c>
      <c r="N170" s="44">
        <f>Table1[[#This Row],[one-year conditional mortality AT ISSUE]]/Table1[[#This Row],[one-year conditional persistency AT ISSUE]]</f>
        <v>10330577656.607809</v>
      </c>
      <c r="O170" s="4">
        <f>(1+$B$14)^(Table1[[#This Row],[age since issue]]-$A$17)</f>
        <v>193.14057424722643</v>
      </c>
      <c r="P170" s="5">
        <f>(Table1[[#This Row],[level premium unmarked-up]]*Table1[[#This Row],[unconditional persistency AT ISSUE]]-Table1[[#This Row],[Death benefit pay probability]])</f>
        <v>0</v>
      </c>
      <c r="Q170" s="4">
        <f>Table1[[#This Row],[Issuer profit with unmarked-up level premium]]/Table1[[#This Row],[Issuer discounter at issue]]</f>
        <v>0</v>
      </c>
      <c r="R170" s="4">
        <f>(Table1[[#This Row],[variable premium unmarked up]]*Table1[[#This Row],[unconditional persistency AT ISSUE]]-Table1[[#This Row],[Death benefit pay probability]])</f>
        <v>0</v>
      </c>
      <c r="S170" s="6">
        <f>Table1[[#This Row],[level premium unmarked-up]]*(1+$B$15)</f>
        <v>1.9910109748700498E-3</v>
      </c>
      <c r="T170" s="6">
        <f>MIN(Table1[[#This Row],[variable premium unmarked up]]*(1+$B$15),1)</f>
        <v>1</v>
      </c>
      <c r="U170" s="6">
        <f>Table1[[#This Row],[level premium marked up]]-Table1[[#This Row],[variable premium marked up]]</f>
        <v>-0.99800898902512991</v>
      </c>
      <c r="V170" s="6">
        <f>Table1[[#This Row],[additional cash]]+V169*(1+$D$2)</f>
        <v>-79.311914826838915</v>
      </c>
      <c r="W170" s="12">
        <v>0.5</v>
      </c>
      <c r="X170" s="13">
        <f>1-Table1[[#This Row],[one-year conditional mortality NOW]]</f>
        <v>0.5</v>
      </c>
      <c r="Y170" s="49">
        <f>PRODUCT(X$17:X170)</f>
        <v>1.069888190166001E-23</v>
      </c>
      <c r="Z170" s="13">
        <f>Table1[[#This Row],[one-year conditional survival NOW]]*(1-Table1[[#This Row],[Lapse rate]])</f>
        <v>0.48399999999999999</v>
      </c>
      <c r="AA170" s="13">
        <f>PRODUCT(Z$17:Z170)</f>
        <v>7.0957618200813986E-26</v>
      </c>
      <c r="AB170" s="50">
        <f>Y169*Table1[[#This Row],[one-year conditional mortality NOW]]</f>
        <v>1.069888190166001E-23</v>
      </c>
      <c r="AC170" s="14">
        <v>1.9699999999999999E-2</v>
      </c>
      <c r="AD170" s="28">
        <f>(1+Table1[[#This Row],[Yield curve now]])^(Table1[[#This Row],[age since issue]]-$A$23)</f>
        <v>17.597283772789286</v>
      </c>
      <c r="AE170" s="46">
        <f t="shared" si="7"/>
        <v>160.75870756957897</v>
      </c>
      <c r="AF170" s="42">
        <f>1-Table1[[#This Row],[cumulative debt until t]]</f>
        <v>-159.75870756957897</v>
      </c>
      <c r="AG170" s="46">
        <f>Table1[[#This Row],[cumulative debt until t]]*Table1[[#This Row],[Unconditional mortality NOW]]/Table1[[#This Row],[discouter with yield curve]]</f>
        <v>9.7738858403247807E-23</v>
      </c>
      <c r="AH170" s="48">
        <f>Table1[[#This Row],[Unconditional mortality NOW]]/Table1[[#This Row],[discouter with yield curve]]</f>
        <v>6.0798484810500765E-25</v>
      </c>
      <c r="AI170" s="29">
        <f>Table1[[#This Row],[user profit (death benefit - debt)]]*Table1[[#This Row],[Unconditional mortality NOW]]/Table1[[#This Row],[discouter with yield curve]]</f>
        <v>-9.7130873555142809E-23</v>
      </c>
      <c r="AJ170" s="29">
        <f>(1+$D$4)^(Table1[[#This Row],[age since issue]]-$A$23)</f>
        <v>836724589.20258784</v>
      </c>
      <c r="AK170" s="57">
        <f>Table1[[#This Row],[level premium marked up]]*Table1[[#This Row],[unconditional survival NOW]]</f>
        <v>2.1301591285043628E-26</v>
      </c>
      <c r="AL170" s="62">
        <f>Table1[[#This Row],[cumulative debt until t]]*Table1[[#This Row],[Unconditional mortality NOW]]</f>
        <v>1.7199384269504225E-21</v>
      </c>
      <c r="AM170" s="47">
        <f>Table1[[#This Row],[probablistic premium stream]]/Table1[[#This Row],[lender discounter]]</f>
        <v>2.5458306783292207E-35</v>
      </c>
      <c r="AN170" s="58">
        <f>Table1[[#This Row],[probablistic repay from borrower]]/Table1[[#This Row],[lender discounter]]</f>
        <v>2.0555609924043846E-30</v>
      </c>
      <c r="AO170" s="47">
        <f>(Table1[[#This Row],[probablistic repay from borrower]]-Table1[[#This Row],[probablistic premium stream]])/Table1[[#This Row],[lender discounter]]</f>
        <v>2.055535534097601E-30</v>
      </c>
      <c r="AP170" s="46">
        <f>AP169*(1+$D$4)+ Table1[[#This Row],[level premium marked up]]</f>
        <v>12772113.427079188</v>
      </c>
      <c r="AQ170" s="58">
        <f>AP170*Table1[[#This Row],[Unconditional mortality NOW]]</f>
        <v>1.3664733319092634E-16</v>
      </c>
      <c r="AR170" s="60">
        <f>Table1[[#This Row],[cumulative debt until t]]*Table1[[#This Row],[Unconditional mortality NOW]]</f>
        <v>1.7199384269504225E-21</v>
      </c>
      <c r="AS170" s="58">
        <f>Table1[[#This Row],[lender to pay cumulative probablistic undiscounted]]/Table1[[#This Row],[lender discounter]]</f>
        <v>1.6331219968227954E-25</v>
      </c>
    </row>
    <row r="171" spans="1:45" s="3" customFormat="1">
      <c r="A171" s="3">
        <v>175</v>
      </c>
      <c r="B171" s="8">
        <v>3.2000000000000001E-2</v>
      </c>
      <c r="C171" s="3">
        <v>0</v>
      </c>
      <c r="D171" s="8">
        <v>3.2000000000000001E-2</v>
      </c>
      <c r="E171" s="12">
        <v>0.99999999989999999</v>
      </c>
      <c r="F171" s="13">
        <f>1-Table1[[#This Row],[one-year conditional mortality AT ISSUE]]</f>
        <v>1.000000082740371E-10</v>
      </c>
      <c r="G171" s="13">
        <f>PRODUCT(F$17:F171)</f>
        <v>0</v>
      </c>
      <c r="H171" s="13">
        <f>Table1[[#This Row],[one-year conditional survival AT ISSUE]]*(1-Table1[[#This Row],[Lapse rate]])</f>
        <v>9.6800008009267909E-11</v>
      </c>
      <c r="I171" s="13">
        <f>PRODUCT(H$17:H171)</f>
        <v>0</v>
      </c>
      <c r="J171" s="13">
        <f>G170*Table1[[#This Row],[one-year conditional mortality AT ISSUE]]</f>
        <v>0</v>
      </c>
      <c r="K171" s="10">
        <f>I170*Table1[[#This Row],[one-year conditional mortality AT ISSUE]]</f>
        <v>0</v>
      </c>
      <c r="L171" s="3">
        <f t="shared" si="6"/>
        <v>1.9910109748700498E-3</v>
      </c>
      <c r="M171" s="44">
        <v>1</v>
      </c>
      <c r="N171" s="44">
        <f>Table1[[#This Row],[one-year conditional mortality AT ISSUE]]/Table1[[#This Row],[one-year conditional persistency AT ISSUE]]</f>
        <v>10330577656.607809</v>
      </c>
      <c r="O171" s="4">
        <f>(1+$B$14)^(Table1[[#This Row],[age since issue]]-$A$17)</f>
        <v>199.90049434587934</v>
      </c>
      <c r="P171" s="5">
        <f>(Table1[[#This Row],[level premium unmarked-up]]*Table1[[#This Row],[unconditional persistency AT ISSUE]]-Table1[[#This Row],[Death benefit pay probability]])</f>
        <v>0</v>
      </c>
      <c r="Q171" s="4">
        <f>Table1[[#This Row],[Issuer profit with unmarked-up level premium]]/Table1[[#This Row],[Issuer discounter at issue]]</f>
        <v>0</v>
      </c>
      <c r="R171" s="4">
        <f>(Table1[[#This Row],[variable premium unmarked up]]*Table1[[#This Row],[unconditional persistency AT ISSUE]]-Table1[[#This Row],[Death benefit pay probability]])</f>
        <v>0</v>
      </c>
      <c r="S171" s="6">
        <f>Table1[[#This Row],[level premium unmarked-up]]*(1+$B$15)</f>
        <v>1.9910109748700498E-3</v>
      </c>
      <c r="T171" s="6">
        <f>MIN(Table1[[#This Row],[variable premium unmarked up]]*(1+$B$15),1)</f>
        <v>1</v>
      </c>
      <c r="U171" s="6">
        <f>Table1[[#This Row],[level premium marked up]]-Table1[[#This Row],[variable premium marked up]]</f>
        <v>-0.99800898902512991</v>
      </c>
      <c r="V171" s="6">
        <f>Table1[[#This Row],[additional cash]]+V170*(1+$D$2)</f>
        <v>-80.389235730690871</v>
      </c>
      <c r="W171" s="12">
        <v>0.5</v>
      </c>
      <c r="X171" s="13">
        <f>1-Table1[[#This Row],[one-year conditional mortality NOW]]</f>
        <v>0.5</v>
      </c>
      <c r="Y171" s="49">
        <f>PRODUCT(X$17:X171)</f>
        <v>5.3494409508300052E-24</v>
      </c>
      <c r="Z171" s="13">
        <f>Table1[[#This Row],[one-year conditional survival NOW]]*(1-Table1[[#This Row],[Lapse rate]])</f>
        <v>0.48399999999999999</v>
      </c>
      <c r="AA171" s="13">
        <f>PRODUCT(Z$17:Z171)</f>
        <v>3.4343487209193966E-26</v>
      </c>
      <c r="AB171" s="50">
        <f>Y170*Table1[[#This Row],[one-year conditional mortality NOW]]</f>
        <v>5.3494409508300052E-24</v>
      </c>
      <c r="AC171" s="14">
        <v>1.9699999999999999E-2</v>
      </c>
      <c r="AD171" s="28">
        <f>(1+Table1[[#This Row],[Yield curve now]])^(Table1[[#This Row],[age since issue]]-$A$23)</f>
        <v>17.943950263113237</v>
      </c>
      <c r="AE171" s="46">
        <f t="shared" si="7"/>
        <v>170.22582740222734</v>
      </c>
      <c r="AF171" s="42">
        <f>1-Table1[[#This Row],[cumulative debt until t]]</f>
        <v>-169.22582740222734</v>
      </c>
      <c r="AG171" s="46">
        <f>Table1[[#This Row],[cumulative debt until t]]*Table1[[#This Row],[Unconditional mortality NOW]]/Table1[[#This Row],[discouter with yield curve]]</f>
        <v>5.0747633527847618E-23</v>
      </c>
      <c r="AH171" s="48">
        <f>Table1[[#This Row],[Unconditional mortality NOW]]/Table1[[#This Row],[discouter with yield curve]]</f>
        <v>2.9811947048396961E-25</v>
      </c>
      <c r="AI171" s="29">
        <f>Table1[[#This Row],[user profit (death benefit - debt)]]*Table1[[#This Row],[Unconditional mortality NOW]]/Table1[[#This Row],[discouter with yield curve]]</f>
        <v>-5.0449514057363649E-23</v>
      </c>
      <c r="AJ171" s="29">
        <f>(1+$D$4)^(Table1[[#This Row],[age since issue]]-$A$23)</f>
        <v>962233277.58297586</v>
      </c>
      <c r="AK171" s="57">
        <f>Table1[[#This Row],[level premium marked up]]*Table1[[#This Row],[unconditional survival NOW]]</f>
        <v>1.0650795642521814E-26</v>
      </c>
      <c r="AL171" s="62">
        <f>Table1[[#This Row],[cumulative debt until t]]*Table1[[#This Row],[Unconditional mortality NOW]]</f>
        <v>9.106130119943954E-22</v>
      </c>
      <c r="AM171" s="47">
        <f>Table1[[#This Row],[probablistic premium stream]]/Table1[[#This Row],[lender discounter]]</f>
        <v>1.1068829036214006E-35</v>
      </c>
      <c r="AN171" s="58">
        <f>Table1[[#This Row],[probablistic repay from borrower]]/Table1[[#This Row],[lender discounter]]</f>
        <v>9.4635368907813621E-31</v>
      </c>
      <c r="AO171" s="47">
        <f>(Table1[[#This Row],[probablistic repay from borrower]]-Table1[[#This Row],[probablistic premium stream]])/Table1[[#This Row],[lender discounter]]</f>
        <v>9.4634262024909992E-31</v>
      </c>
      <c r="AP171" s="46">
        <f>AP170*(1+$D$4)+ Table1[[#This Row],[level premium marked up]]</f>
        <v>14687930.443132076</v>
      </c>
      <c r="AQ171" s="58">
        <f>AP171*Table1[[#This Row],[Unconditional mortality NOW]]</f>
        <v>7.8572216595433435E-17</v>
      </c>
      <c r="AR171" s="60">
        <f>Table1[[#This Row],[cumulative debt until t]]*Table1[[#This Row],[Unconditional mortality NOW]]</f>
        <v>9.106130119943954E-22</v>
      </c>
      <c r="AS171" s="58">
        <f>Table1[[#This Row],[lender to pay cumulative probablistic undiscounted]]/Table1[[#This Row],[lender discounter]]</f>
        <v>8.1656099852208598E-26</v>
      </c>
    </row>
    <row r="172" spans="1:45" s="3" customFormat="1">
      <c r="A172" s="3">
        <v>176</v>
      </c>
      <c r="B172" s="8">
        <v>3.2000000000000001E-2</v>
      </c>
      <c r="C172" s="3">
        <v>0</v>
      </c>
      <c r="D172" s="8">
        <v>3.2000000000000001E-2</v>
      </c>
      <c r="E172" s="12">
        <v>0.99999999989999999</v>
      </c>
      <c r="F172" s="13">
        <f>1-Table1[[#This Row],[one-year conditional mortality AT ISSUE]]</f>
        <v>1.000000082740371E-10</v>
      </c>
      <c r="G172" s="13">
        <f>PRODUCT(F$17:F172)</f>
        <v>0</v>
      </c>
      <c r="H172" s="13">
        <f>Table1[[#This Row],[one-year conditional survival AT ISSUE]]*(1-Table1[[#This Row],[Lapse rate]])</f>
        <v>9.6800008009267909E-11</v>
      </c>
      <c r="I172" s="13">
        <f>PRODUCT(H$17:H172)</f>
        <v>0</v>
      </c>
      <c r="J172" s="13">
        <f>G171*Table1[[#This Row],[one-year conditional mortality AT ISSUE]]</f>
        <v>0</v>
      </c>
      <c r="K172" s="10">
        <f>I171*Table1[[#This Row],[one-year conditional mortality AT ISSUE]]</f>
        <v>0</v>
      </c>
      <c r="L172" s="3">
        <f t="shared" si="6"/>
        <v>1.9910109748700498E-3</v>
      </c>
      <c r="M172" s="44">
        <v>1</v>
      </c>
      <c r="N172" s="44">
        <f>Table1[[#This Row],[one-year conditional mortality AT ISSUE]]/Table1[[#This Row],[one-year conditional persistency AT ISSUE]]</f>
        <v>10330577656.607809</v>
      </c>
      <c r="O172" s="4">
        <f>(1+$B$14)^(Table1[[#This Row],[age since issue]]-$A$17)</f>
        <v>206.89701164798512</v>
      </c>
      <c r="P172" s="5">
        <f>(Table1[[#This Row],[level premium unmarked-up]]*Table1[[#This Row],[unconditional persistency AT ISSUE]]-Table1[[#This Row],[Death benefit pay probability]])</f>
        <v>0</v>
      </c>
      <c r="Q172" s="4">
        <f>Table1[[#This Row],[Issuer profit with unmarked-up level premium]]/Table1[[#This Row],[Issuer discounter at issue]]</f>
        <v>0</v>
      </c>
      <c r="R172" s="4">
        <f>(Table1[[#This Row],[variable premium unmarked up]]*Table1[[#This Row],[unconditional persistency AT ISSUE]]-Table1[[#This Row],[Death benefit pay probability]])</f>
        <v>0</v>
      </c>
      <c r="S172" s="6">
        <f>Table1[[#This Row],[level premium unmarked-up]]*(1+$B$15)</f>
        <v>1.9910109748700498E-3</v>
      </c>
      <c r="T172" s="6">
        <f>MIN(Table1[[#This Row],[variable premium unmarked up]]*(1+$B$15),1)</f>
        <v>1</v>
      </c>
      <c r="U172" s="6">
        <f>Table1[[#This Row],[level premium marked up]]-Table1[[#This Row],[variable premium marked up]]</f>
        <v>-0.99800898902512991</v>
      </c>
      <c r="V172" s="6">
        <f>Table1[[#This Row],[additional cash]]+V171*(1+$D$2)</f>
        <v>-81.467633955446672</v>
      </c>
      <c r="W172" s="12">
        <v>0.5</v>
      </c>
      <c r="X172" s="13">
        <f>1-Table1[[#This Row],[one-year conditional mortality NOW]]</f>
        <v>0.5</v>
      </c>
      <c r="Y172" s="49">
        <f>PRODUCT(X$17:X172)</f>
        <v>2.6747204754150026E-24</v>
      </c>
      <c r="Z172" s="13">
        <f>Table1[[#This Row],[one-year conditional survival NOW]]*(1-Table1[[#This Row],[Lapse rate]])</f>
        <v>0.48399999999999999</v>
      </c>
      <c r="AA172" s="13">
        <f>PRODUCT(Z$17:Z172)</f>
        <v>1.6622247809249878E-26</v>
      </c>
      <c r="AB172" s="50">
        <f>Y171*Table1[[#This Row],[one-year conditional mortality NOW]]</f>
        <v>2.6747204754150026E-24</v>
      </c>
      <c r="AC172" s="14">
        <v>1.9699999999999999E-2</v>
      </c>
      <c r="AD172" s="28">
        <f>(1+Table1[[#This Row],[Yield curve now]])^(Table1[[#This Row],[age since issue]]-$A$23)</f>
        <v>18.29744608329657</v>
      </c>
      <c r="AE172" s="46">
        <f t="shared" si="7"/>
        <v>180.2503440960329</v>
      </c>
      <c r="AF172" s="42">
        <f>1-Table1[[#This Row],[cumulative debt until t]]</f>
        <v>-179.2503440960329</v>
      </c>
      <c r="AG172" s="46">
        <f>Table1[[#This Row],[cumulative debt until t]]*Table1[[#This Row],[Unconditional mortality NOW]]/Table1[[#This Row],[discouter with yield curve]]</f>
        <v>2.6348993398285101E-23</v>
      </c>
      <c r="AH172" s="48">
        <f>Table1[[#This Row],[Unconditional mortality NOW]]/Table1[[#This Row],[discouter with yield curve]]</f>
        <v>1.4617998944982326E-25</v>
      </c>
      <c r="AI172" s="29">
        <f>Table1[[#This Row],[user profit (death benefit - debt)]]*Table1[[#This Row],[Unconditional mortality NOW]]/Table1[[#This Row],[discouter with yield curve]]</f>
        <v>-2.620281340883528E-23</v>
      </c>
      <c r="AJ172" s="29">
        <f>(1+$D$4)^(Table1[[#This Row],[age since issue]]-$A$23)</f>
        <v>1106568269.2204223</v>
      </c>
      <c r="AK172" s="57">
        <f>Table1[[#This Row],[level premium marked up]]*Table1[[#This Row],[unconditional survival NOW]]</f>
        <v>5.3253978212609071E-27</v>
      </c>
      <c r="AL172" s="62">
        <f>Table1[[#This Row],[cumulative debt until t]]*Table1[[#This Row],[Unconditional mortality NOW]]</f>
        <v>4.8211928605425892E-22</v>
      </c>
      <c r="AM172" s="47">
        <f>Table1[[#This Row],[probablistic premium stream]]/Table1[[#This Row],[lender discounter]]</f>
        <v>4.8125343635713065E-36</v>
      </c>
      <c r="AN172" s="58">
        <f>Table1[[#This Row],[probablistic repay from borrower]]/Table1[[#This Row],[lender discounter]]</f>
        <v>4.3568869582164335E-31</v>
      </c>
      <c r="AO172" s="47">
        <f>(Table1[[#This Row],[probablistic repay from borrower]]-Table1[[#This Row],[probablistic premium stream]])/Table1[[#This Row],[lender discounter]]</f>
        <v>4.3568388328727976E-31</v>
      </c>
      <c r="AP172" s="46">
        <f>AP171*(1+$D$4)+ Table1[[#This Row],[level premium marked up]]</f>
        <v>16891120.011592899</v>
      </c>
      <c r="AQ172" s="58">
        <f>AP172*Table1[[#This Row],[Unconditional mortality NOW]]</f>
        <v>4.5179024547699622E-17</v>
      </c>
      <c r="AR172" s="60">
        <f>Table1[[#This Row],[cumulative debt until t]]*Table1[[#This Row],[Unconditional mortality NOW]]</f>
        <v>4.8211928605425892E-22</v>
      </c>
      <c r="AS172" s="58">
        <f>Table1[[#This Row],[lender to pay cumulative probablistic undiscounted]]/Table1[[#This Row],[lender discounter]]</f>
        <v>4.0828049930916835E-26</v>
      </c>
    </row>
    <row r="173" spans="1:45" s="3" customFormat="1">
      <c r="A173" s="3">
        <v>177</v>
      </c>
      <c r="B173" s="8">
        <v>3.2000000000000001E-2</v>
      </c>
      <c r="C173" s="3">
        <v>0</v>
      </c>
      <c r="D173" s="8">
        <v>3.2000000000000001E-2</v>
      </c>
      <c r="E173" s="12">
        <v>0.99999999989999999</v>
      </c>
      <c r="F173" s="13">
        <f>1-Table1[[#This Row],[one-year conditional mortality AT ISSUE]]</f>
        <v>1.000000082740371E-10</v>
      </c>
      <c r="G173" s="13">
        <f>PRODUCT(F$17:F173)</f>
        <v>0</v>
      </c>
      <c r="H173" s="13">
        <f>Table1[[#This Row],[one-year conditional survival AT ISSUE]]*(1-Table1[[#This Row],[Lapse rate]])</f>
        <v>9.6800008009267909E-11</v>
      </c>
      <c r="I173" s="13">
        <f>PRODUCT(H$17:H173)</f>
        <v>0</v>
      </c>
      <c r="J173" s="13">
        <f>G172*Table1[[#This Row],[one-year conditional mortality AT ISSUE]]</f>
        <v>0</v>
      </c>
      <c r="K173" s="10">
        <f>I172*Table1[[#This Row],[one-year conditional mortality AT ISSUE]]</f>
        <v>0</v>
      </c>
      <c r="L173" s="3">
        <f t="shared" si="6"/>
        <v>1.9910109748700498E-3</v>
      </c>
      <c r="M173" s="44">
        <v>1</v>
      </c>
      <c r="N173" s="44">
        <f>Table1[[#This Row],[one-year conditional mortality AT ISSUE]]/Table1[[#This Row],[one-year conditional persistency AT ISSUE]]</f>
        <v>10330577656.607809</v>
      </c>
      <c r="O173" s="4">
        <f>(1+$B$14)^(Table1[[#This Row],[age since issue]]-$A$17)</f>
        <v>214.1384070556646</v>
      </c>
      <c r="P173" s="5">
        <f>(Table1[[#This Row],[level premium unmarked-up]]*Table1[[#This Row],[unconditional persistency AT ISSUE]]-Table1[[#This Row],[Death benefit pay probability]])</f>
        <v>0</v>
      </c>
      <c r="Q173" s="4">
        <f>Table1[[#This Row],[Issuer profit with unmarked-up level premium]]/Table1[[#This Row],[Issuer discounter at issue]]</f>
        <v>0</v>
      </c>
      <c r="R173" s="4">
        <f>(Table1[[#This Row],[variable premium unmarked up]]*Table1[[#This Row],[unconditional persistency AT ISSUE]]-Table1[[#This Row],[Death benefit pay probability]])</f>
        <v>0</v>
      </c>
      <c r="S173" s="6">
        <f>Table1[[#This Row],[level premium unmarked-up]]*(1+$B$15)</f>
        <v>1.9910109748700498E-3</v>
      </c>
      <c r="T173" s="6">
        <f>MIN(Table1[[#This Row],[variable premium unmarked up]]*(1+$B$15),1)</f>
        <v>1</v>
      </c>
      <c r="U173" s="6">
        <f>Table1[[#This Row],[level premium marked up]]-Table1[[#This Row],[variable premium marked up]]</f>
        <v>-0.99800898902512991</v>
      </c>
      <c r="V173" s="6">
        <f>Table1[[#This Row],[additional cash]]+V172*(1+$D$2)</f>
        <v>-82.547110578427237</v>
      </c>
      <c r="W173" s="12">
        <v>0.5</v>
      </c>
      <c r="X173" s="13">
        <f>1-Table1[[#This Row],[one-year conditional mortality NOW]]</f>
        <v>0.5</v>
      </c>
      <c r="Y173" s="49">
        <f>PRODUCT(X$17:X173)</f>
        <v>1.3373602377075013E-24</v>
      </c>
      <c r="Z173" s="13">
        <f>Table1[[#This Row],[one-year conditional survival NOW]]*(1-Table1[[#This Row],[Lapse rate]])</f>
        <v>0.48399999999999999</v>
      </c>
      <c r="AA173" s="13">
        <f>PRODUCT(Z$17:Z173)</f>
        <v>8.0451679396769406E-27</v>
      </c>
      <c r="AB173" s="50">
        <f>Y172*Table1[[#This Row],[one-year conditional mortality NOW]]</f>
        <v>1.3373602377075013E-24</v>
      </c>
      <c r="AC173" s="14">
        <v>1.9699999999999999E-2</v>
      </c>
      <c r="AD173" s="28">
        <f>(1+Table1[[#This Row],[Yield curve now]])^(Table1[[#This Row],[age since issue]]-$A$23)</f>
        <v>18.657905771137511</v>
      </c>
      <c r="AE173" s="46">
        <f t="shared" si="7"/>
        <v>190.86507557939626</v>
      </c>
      <c r="AF173" s="42">
        <f>1-Table1[[#This Row],[cumulative debt until t]]</f>
        <v>-189.86507557939626</v>
      </c>
      <c r="AG173" s="46">
        <f>Table1[[#This Row],[cumulative debt until t]]*Table1[[#This Row],[Unconditional mortality NOW]]/Table1[[#This Row],[discouter with yield curve]]</f>
        <v>1.3680815305744762E-23</v>
      </c>
      <c r="AH173" s="48">
        <f>Table1[[#This Row],[Unconditional mortality NOW]]/Table1[[#This Row],[discouter with yield curve]]</f>
        <v>7.1677939320301695E-26</v>
      </c>
      <c r="AI173" s="29">
        <f>Table1[[#This Row],[user profit (death benefit - debt)]]*Table1[[#This Row],[Unconditional mortality NOW]]/Table1[[#This Row],[discouter with yield curve]]</f>
        <v>-1.3609137366424462E-23</v>
      </c>
      <c r="AJ173" s="29">
        <f>(1+$D$4)^(Table1[[#This Row],[age since issue]]-$A$23)</f>
        <v>1272553509.6034856</v>
      </c>
      <c r="AK173" s="57">
        <f>Table1[[#This Row],[level premium marked up]]*Table1[[#This Row],[unconditional survival NOW]]</f>
        <v>2.6626989106304536E-27</v>
      </c>
      <c r="AL173" s="62">
        <f>Table1[[#This Row],[cumulative debt until t]]*Table1[[#This Row],[Unconditional mortality NOW]]</f>
        <v>2.5525536284692159E-22</v>
      </c>
      <c r="AM173" s="47">
        <f>Table1[[#This Row],[probablistic premium stream]]/Table1[[#This Row],[lender discounter]]</f>
        <v>2.092406245031003E-36</v>
      </c>
      <c r="AN173" s="58">
        <f>Table1[[#This Row],[probablistic repay from borrower]]/Table1[[#This Row],[lender discounter]]</f>
        <v>2.005851706200209E-31</v>
      </c>
      <c r="AO173" s="47">
        <f>(Table1[[#This Row],[probablistic repay from borrower]]-Table1[[#This Row],[probablistic premium stream]])/Table1[[#This Row],[lender discounter]]</f>
        <v>2.0058307821377586E-31</v>
      </c>
      <c r="AP173" s="46">
        <f>AP172*(1+$D$4)+ Table1[[#This Row],[level premium marked up]]</f>
        <v>19424788.015322842</v>
      </c>
      <c r="AQ173" s="58">
        <f>AP173*Table1[[#This Row],[Unconditional mortality NOW]]</f>
        <v>2.5977939117589978E-17</v>
      </c>
      <c r="AR173" s="60">
        <f>Table1[[#This Row],[cumulative debt until t]]*Table1[[#This Row],[Unconditional mortality NOW]]</f>
        <v>2.5525536284692159E-22</v>
      </c>
      <c r="AS173" s="58">
        <f>Table1[[#This Row],[lender to pay cumulative probablistic undiscounted]]/Table1[[#This Row],[lender discounter]]</f>
        <v>2.041402496755082E-26</v>
      </c>
    </row>
    <row r="174" spans="1:45" s="3" customFormat="1">
      <c r="A174" s="3">
        <v>178</v>
      </c>
      <c r="B174" s="8">
        <v>3.2000000000000001E-2</v>
      </c>
      <c r="C174" s="3">
        <v>0</v>
      </c>
      <c r="D174" s="8">
        <v>3.2000000000000001E-2</v>
      </c>
      <c r="E174" s="12">
        <v>0.99999999989999999</v>
      </c>
      <c r="F174" s="13">
        <f>1-Table1[[#This Row],[one-year conditional mortality AT ISSUE]]</f>
        <v>1.000000082740371E-10</v>
      </c>
      <c r="G174" s="13">
        <f>PRODUCT(F$17:F174)</f>
        <v>0</v>
      </c>
      <c r="H174" s="13">
        <f>Table1[[#This Row],[one-year conditional survival AT ISSUE]]*(1-Table1[[#This Row],[Lapse rate]])</f>
        <v>9.6800008009267909E-11</v>
      </c>
      <c r="I174" s="13">
        <f>PRODUCT(H$17:H174)</f>
        <v>0</v>
      </c>
      <c r="J174" s="13">
        <f>G173*Table1[[#This Row],[one-year conditional mortality AT ISSUE]]</f>
        <v>0</v>
      </c>
      <c r="K174" s="10">
        <f>I173*Table1[[#This Row],[one-year conditional mortality AT ISSUE]]</f>
        <v>0</v>
      </c>
      <c r="L174" s="3">
        <f t="shared" si="6"/>
        <v>1.9910109748700498E-3</v>
      </c>
      <c r="M174" s="44">
        <v>1</v>
      </c>
      <c r="N174" s="44">
        <f>Table1[[#This Row],[one-year conditional mortality AT ISSUE]]/Table1[[#This Row],[one-year conditional persistency AT ISSUE]]</f>
        <v>10330577656.607809</v>
      </c>
      <c r="O174" s="4">
        <f>(1+$B$14)^(Table1[[#This Row],[age since issue]]-$A$17)</f>
        <v>221.63325130261282</v>
      </c>
      <c r="P174" s="5">
        <f>(Table1[[#This Row],[level premium unmarked-up]]*Table1[[#This Row],[unconditional persistency AT ISSUE]]-Table1[[#This Row],[Death benefit pay probability]])</f>
        <v>0</v>
      </c>
      <c r="Q174" s="4">
        <f>Table1[[#This Row],[Issuer profit with unmarked-up level premium]]/Table1[[#This Row],[Issuer discounter at issue]]</f>
        <v>0</v>
      </c>
      <c r="R174" s="4">
        <f>(Table1[[#This Row],[variable premium unmarked up]]*Table1[[#This Row],[unconditional persistency AT ISSUE]]-Table1[[#This Row],[Death benefit pay probability]])</f>
        <v>0</v>
      </c>
      <c r="S174" s="6">
        <f>Table1[[#This Row],[level premium unmarked-up]]*(1+$B$15)</f>
        <v>1.9910109748700498E-3</v>
      </c>
      <c r="T174" s="6">
        <f>MIN(Table1[[#This Row],[variable premium unmarked up]]*(1+$B$15),1)</f>
        <v>1</v>
      </c>
      <c r="U174" s="6">
        <f>Table1[[#This Row],[level premium marked up]]-Table1[[#This Row],[variable premium marked up]]</f>
        <v>-0.99800898902512991</v>
      </c>
      <c r="V174" s="6">
        <f>Table1[[#This Row],[additional cash]]+V173*(1+$D$2)</f>
        <v>-83.627666678030778</v>
      </c>
      <c r="W174" s="12">
        <v>0.5</v>
      </c>
      <c r="X174" s="13">
        <f>1-Table1[[#This Row],[one-year conditional mortality NOW]]</f>
        <v>0.5</v>
      </c>
      <c r="Y174" s="49">
        <f>PRODUCT(X$17:X174)</f>
        <v>6.6868011885375065E-25</v>
      </c>
      <c r="Z174" s="13">
        <f>Table1[[#This Row],[one-year conditional survival NOW]]*(1-Table1[[#This Row],[Lapse rate]])</f>
        <v>0.48399999999999999</v>
      </c>
      <c r="AA174" s="13">
        <f>PRODUCT(Z$17:Z174)</f>
        <v>3.8938612828036393E-27</v>
      </c>
      <c r="AB174" s="50">
        <f>Y173*Table1[[#This Row],[one-year conditional mortality NOW]]</f>
        <v>6.6868011885375065E-25</v>
      </c>
      <c r="AC174" s="14">
        <v>1.9699999999999999E-2</v>
      </c>
      <c r="AD174" s="28">
        <f>(1+Table1[[#This Row],[Yield curve now]])^(Table1[[#This Row],[age since issue]]-$A$23)</f>
        <v>19.025466514828921</v>
      </c>
      <c r="AE174" s="46">
        <f t="shared" si="7"/>
        <v>202.10477200621042</v>
      </c>
      <c r="AF174" s="42">
        <f>1-Table1[[#This Row],[cumulative debt until t]]</f>
        <v>-201.10477200621042</v>
      </c>
      <c r="AG174" s="46">
        <f>Table1[[#This Row],[cumulative debt until t]]*Table1[[#This Row],[Unconditional mortality NOW]]/Table1[[#This Row],[discouter with yield curve]]</f>
        <v>7.1032919408671951E-24</v>
      </c>
      <c r="AH174" s="48">
        <f>Table1[[#This Row],[Unconditional mortality NOW]]/Table1[[#This Row],[discouter with yield curve]]</f>
        <v>3.5146581994852254E-26</v>
      </c>
      <c r="AI174" s="29">
        <f>Table1[[#This Row],[user profit (death benefit - debt)]]*Table1[[#This Row],[Unconditional mortality NOW]]/Table1[[#This Row],[discouter with yield curve]]</f>
        <v>-7.0681453588723433E-24</v>
      </c>
      <c r="AJ174" s="29">
        <f>(1+$D$4)^(Table1[[#This Row],[age since issue]]-$A$23)</f>
        <v>1463436536.044008</v>
      </c>
      <c r="AK174" s="57">
        <f>Table1[[#This Row],[level premium marked up]]*Table1[[#This Row],[unconditional survival NOW]]</f>
        <v>1.3313494553152268E-27</v>
      </c>
      <c r="AL174" s="62">
        <f>Table1[[#This Row],[cumulative debt until t]]*Table1[[#This Row],[Unconditional mortality NOW]]</f>
        <v>1.3514344296602296E-22</v>
      </c>
      <c r="AM174" s="47">
        <f>Table1[[#This Row],[probablistic premium stream]]/Table1[[#This Row],[lender discounter]]</f>
        <v>9.0974184566565374E-37</v>
      </c>
      <c r="AN174" s="58">
        <f>Table1[[#This Row],[probablistic repay from borrower]]/Table1[[#This Row],[lender discounter]]</f>
        <v>9.2346637272939432E-32</v>
      </c>
      <c r="AO174" s="47">
        <f>(Table1[[#This Row],[probablistic repay from borrower]]-Table1[[#This Row],[probablistic premium stream]])/Table1[[#This Row],[lender discounter]]</f>
        <v>9.2345727531093754E-32</v>
      </c>
      <c r="AP174" s="46">
        <f>AP173*(1+$D$4)+ Table1[[#This Row],[level premium marked up]]</f>
        <v>22338506.219612278</v>
      </c>
      <c r="AQ174" s="58">
        <f>AP174*Table1[[#This Row],[Unconditional mortality NOW]]</f>
        <v>1.4937314993945587E-17</v>
      </c>
      <c r="AR174" s="60">
        <f>Table1[[#This Row],[cumulative debt until t]]*Table1[[#This Row],[Unconditional mortality NOW]]</f>
        <v>1.3514344296602296E-22</v>
      </c>
      <c r="AS174" s="58">
        <f>Table1[[#This Row],[lender to pay cumulative probablistic undiscounted]]/Table1[[#This Row],[lender discounter]]</f>
        <v>1.0207012484685156E-26</v>
      </c>
    </row>
    <row r="175" spans="1:45" s="3" customFormat="1">
      <c r="A175" s="3">
        <v>179</v>
      </c>
      <c r="B175" s="8">
        <v>3.2000000000000001E-2</v>
      </c>
      <c r="C175" s="3">
        <v>0</v>
      </c>
      <c r="D175" s="8">
        <v>3.2000000000000001E-2</v>
      </c>
      <c r="E175" s="12">
        <v>0.99999999989999999</v>
      </c>
      <c r="F175" s="13">
        <f>1-Table1[[#This Row],[one-year conditional mortality AT ISSUE]]</f>
        <v>1.000000082740371E-10</v>
      </c>
      <c r="G175" s="13">
        <f>PRODUCT(F$17:F175)</f>
        <v>0</v>
      </c>
      <c r="H175" s="13">
        <f>Table1[[#This Row],[one-year conditional survival AT ISSUE]]*(1-Table1[[#This Row],[Lapse rate]])</f>
        <v>9.6800008009267909E-11</v>
      </c>
      <c r="I175" s="13">
        <f>PRODUCT(H$17:H175)</f>
        <v>0</v>
      </c>
      <c r="J175" s="13">
        <f>G174*Table1[[#This Row],[one-year conditional mortality AT ISSUE]]</f>
        <v>0</v>
      </c>
      <c r="K175" s="10">
        <f>I174*Table1[[#This Row],[one-year conditional mortality AT ISSUE]]</f>
        <v>0</v>
      </c>
      <c r="L175" s="3">
        <f t="shared" si="6"/>
        <v>1.9910109748700498E-3</v>
      </c>
      <c r="M175" s="44">
        <v>1</v>
      </c>
      <c r="N175" s="44">
        <f>Table1[[#This Row],[one-year conditional mortality AT ISSUE]]/Table1[[#This Row],[one-year conditional persistency AT ISSUE]]</f>
        <v>10330577656.607809</v>
      </c>
      <c r="O175" s="4">
        <f>(1+$B$14)^(Table1[[#This Row],[age since issue]]-$A$17)</f>
        <v>229.39041509820427</v>
      </c>
      <c r="P175" s="5">
        <f>(Table1[[#This Row],[level premium unmarked-up]]*Table1[[#This Row],[unconditional persistency AT ISSUE]]-Table1[[#This Row],[Death benefit pay probability]])</f>
        <v>0</v>
      </c>
      <c r="Q175" s="4">
        <f>Table1[[#This Row],[Issuer profit with unmarked-up level premium]]/Table1[[#This Row],[Issuer discounter at issue]]</f>
        <v>0</v>
      </c>
      <c r="R175" s="4">
        <f>(Table1[[#This Row],[variable premium unmarked up]]*Table1[[#This Row],[unconditional persistency AT ISSUE]]-Table1[[#This Row],[Death benefit pay probability]])</f>
        <v>0</v>
      </c>
      <c r="S175" s="6">
        <f>Table1[[#This Row],[level premium unmarked-up]]*(1+$B$15)</f>
        <v>1.9910109748700498E-3</v>
      </c>
      <c r="T175" s="6">
        <f>MIN(Table1[[#This Row],[variable premium unmarked up]]*(1+$B$15),1)</f>
        <v>1</v>
      </c>
      <c r="U175" s="6">
        <f>Table1[[#This Row],[level premium marked up]]-Table1[[#This Row],[variable premium marked up]]</f>
        <v>-0.99800898902512991</v>
      </c>
      <c r="V175" s="6">
        <f>Table1[[#This Row],[additional cash]]+V174*(1+$D$2)</f>
        <v>-84.709303333733928</v>
      </c>
      <c r="W175" s="12">
        <v>0.5</v>
      </c>
      <c r="X175" s="13">
        <f>1-Table1[[#This Row],[one-year conditional mortality NOW]]</f>
        <v>0.5</v>
      </c>
      <c r="Y175" s="49">
        <f>PRODUCT(X$17:X175)</f>
        <v>3.3434005942687532E-25</v>
      </c>
      <c r="Z175" s="13">
        <f>Table1[[#This Row],[one-year conditional survival NOW]]*(1-Table1[[#This Row],[Lapse rate]])</f>
        <v>0.48399999999999999</v>
      </c>
      <c r="AA175" s="13">
        <f>PRODUCT(Z$17:Z175)</f>
        <v>1.8846288608769615E-27</v>
      </c>
      <c r="AB175" s="50">
        <f>Y174*Table1[[#This Row],[one-year conditional mortality NOW]]</f>
        <v>3.3434005942687532E-25</v>
      </c>
      <c r="AC175" s="14">
        <v>1.9699999999999999E-2</v>
      </c>
      <c r="AD175" s="28">
        <f>(1+Table1[[#This Row],[Yield curve now]])^(Table1[[#This Row],[age since issue]]-$A$23)</f>
        <v>19.400268205171052</v>
      </c>
      <c r="AE175" s="46">
        <f t="shared" si="7"/>
        <v>214.00622951975558</v>
      </c>
      <c r="AF175" s="42">
        <f>1-Table1[[#This Row],[cumulative debt until t]]</f>
        <v>-213.00622951975558</v>
      </c>
      <c r="AG175" s="46">
        <f>Table1[[#This Row],[cumulative debt until t]]*Table1[[#This Row],[Unconditional mortality NOW]]/Table1[[#This Row],[discouter with yield curve]]</f>
        <v>3.6881374390630872E-24</v>
      </c>
      <c r="AH175" s="48">
        <f>Table1[[#This Row],[Unconditional mortality NOW]]/Table1[[#This Row],[discouter with yield curve]]</f>
        <v>1.7233785424562251E-26</v>
      </c>
      <c r="AI175" s="29">
        <f>Table1[[#This Row],[user profit (death benefit - debt)]]*Table1[[#This Row],[Unconditional mortality NOW]]/Table1[[#This Row],[discouter with yield curve]]</f>
        <v>-3.6709036536385252E-24</v>
      </c>
      <c r="AJ175" s="29">
        <f>(1+$D$4)^(Table1[[#This Row],[age since issue]]-$A$23)</f>
        <v>1682952016.4506092</v>
      </c>
      <c r="AK175" s="57">
        <f>Table1[[#This Row],[level premium marked up]]*Table1[[#This Row],[unconditional survival NOW]]</f>
        <v>6.6567472765761339E-28</v>
      </c>
      <c r="AL175" s="62">
        <f>Table1[[#This Row],[cumulative debt until t]]*Table1[[#This Row],[Unconditional mortality NOW]]</f>
        <v>7.1550855495356598E-23</v>
      </c>
      <c r="AM175" s="47">
        <f>Table1[[#This Row],[probablistic premium stream]]/Table1[[#This Row],[lender discounter]]</f>
        <v>3.9553993289811027E-37</v>
      </c>
      <c r="AN175" s="58">
        <f>Table1[[#This Row],[probablistic repay from borrower]]/Table1[[#This Row],[lender discounter]]</f>
        <v>4.2515089435680566E-32</v>
      </c>
      <c r="AO175" s="47">
        <f>(Table1[[#This Row],[probablistic repay from borrower]]-Table1[[#This Row],[probablistic premium stream]])/Table1[[#This Row],[lender discounter]]</f>
        <v>4.2514693895747662E-32</v>
      </c>
      <c r="AP175" s="46">
        <f>AP174*(1+$D$4)+ Table1[[#This Row],[level premium marked up]]</f>
        <v>25689282.154545128</v>
      </c>
      <c r="AQ175" s="58">
        <f>AP175*Table1[[#This Row],[Unconditional mortality NOW]]</f>
        <v>8.5889561221843863E-18</v>
      </c>
      <c r="AR175" s="60">
        <f>Table1[[#This Row],[cumulative debt until t]]*Table1[[#This Row],[Unconditional mortality NOW]]</f>
        <v>7.1550855495356598E-23</v>
      </c>
      <c r="AS175" s="58">
        <f>Table1[[#This Row],[lender to pay cumulative probablistic undiscounted]]/Table1[[#This Row],[lender discounter]]</f>
        <v>5.1035062427381168E-27</v>
      </c>
    </row>
    <row r="176" spans="1:45" s="3" customFormat="1">
      <c r="A176" s="3">
        <v>180</v>
      </c>
      <c r="B176" s="8">
        <v>3.2000000000000001E-2</v>
      </c>
      <c r="C176" s="3">
        <v>0</v>
      </c>
      <c r="D176" s="8">
        <v>3.2000000000000001E-2</v>
      </c>
      <c r="E176" s="12">
        <v>0.99999999989999999</v>
      </c>
      <c r="F176" s="13">
        <f>1-Table1[[#This Row],[one-year conditional mortality AT ISSUE]]</f>
        <v>1.000000082740371E-10</v>
      </c>
      <c r="G176" s="13">
        <f>PRODUCT(F$17:F176)</f>
        <v>0</v>
      </c>
      <c r="H176" s="13">
        <f>Table1[[#This Row],[one-year conditional survival AT ISSUE]]*(1-Table1[[#This Row],[Lapse rate]])</f>
        <v>9.6800008009267909E-11</v>
      </c>
      <c r="I176" s="13">
        <f>PRODUCT(H$17:H176)</f>
        <v>0</v>
      </c>
      <c r="J176" s="13">
        <f>G175*Table1[[#This Row],[one-year conditional mortality AT ISSUE]]</f>
        <v>0</v>
      </c>
      <c r="K176" s="10">
        <f>I175*Table1[[#This Row],[one-year conditional mortality AT ISSUE]]</f>
        <v>0</v>
      </c>
      <c r="L176" s="3">
        <f t="shared" si="6"/>
        <v>1.9910109748700498E-3</v>
      </c>
      <c r="M176" s="44">
        <v>1</v>
      </c>
      <c r="N176" s="44">
        <f>Table1[[#This Row],[one-year conditional mortality AT ISSUE]]/Table1[[#This Row],[one-year conditional persistency AT ISSUE]]</f>
        <v>10330577656.607809</v>
      </c>
      <c r="O176" s="4">
        <f>(1+$B$14)^(Table1[[#This Row],[age since issue]]-$A$17)</f>
        <v>237.41907962664141</v>
      </c>
      <c r="P176" s="5">
        <f>(Table1[[#This Row],[level premium unmarked-up]]*Table1[[#This Row],[unconditional persistency AT ISSUE]]-Table1[[#This Row],[Death benefit pay probability]])</f>
        <v>0</v>
      </c>
      <c r="Q176" s="4">
        <f>Table1[[#This Row],[Issuer profit with unmarked-up level premium]]/Table1[[#This Row],[Issuer discounter at issue]]</f>
        <v>0</v>
      </c>
      <c r="R176" s="4">
        <f>(Table1[[#This Row],[variable premium unmarked up]]*Table1[[#This Row],[unconditional persistency AT ISSUE]]-Table1[[#This Row],[Death benefit pay probability]])</f>
        <v>0</v>
      </c>
      <c r="S176" s="6">
        <f>Table1[[#This Row],[level premium unmarked-up]]*(1+$B$15)</f>
        <v>1.9910109748700498E-3</v>
      </c>
      <c r="T176" s="6">
        <f>MIN(Table1[[#This Row],[variable premium unmarked up]]*(1+$B$15),1)</f>
        <v>1</v>
      </c>
      <c r="U176" s="6">
        <f>Table1[[#This Row],[level premium marked up]]-Table1[[#This Row],[variable premium marked up]]</f>
        <v>-0.99800898902512991</v>
      </c>
      <c r="V176" s="6">
        <f>Table1[[#This Row],[additional cash]]+V175*(1+$D$2)</f>
        <v>-85.792021626092776</v>
      </c>
      <c r="W176" s="12">
        <v>0.5</v>
      </c>
      <c r="X176" s="13">
        <f>1-Table1[[#This Row],[one-year conditional mortality NOW]]</f>
        <v>0.5</v>
      </c>
      <c r="Y176" s="49">
        <f>PRODUCT(X$17:X176)</f>
        <v>1.6717002971343766E-25</v>
      </c>
      <c r="Z176" s="13">
        <f>Table1[[#This Row],[one-year conditional survival NOW]]*(1-Table1[[#This Row],[Lapse rate]])</f>
        <v>0.48399999999999999</v>
      </c>
      <c r="AA176" s="13">
        <f>PRODUCT(Z$17:Z176)</f>
        <v>9.1216036866444926E-28</v>
      </c>
      <c r="AB176" s="50">
        <f>Y175*Table1[[#This Row],[one-year conditional mortality NOW]]</f>
        <v>1.6717002971343766E-25</v>
      </c>
      <c r="AC176" s="14">
        <v>1.9699999999999999E-2</v>
      </c>
      <c r="AD176" s="28">
        <f>(1+Table1[[#This Row],[Yield curve now]])^(Table1[[#This Row],[age since issue]]-$A$23)</f>
        <v>19.782453488812923</v>
      </c>
      <c r="AE176" s="46">
        <f t="shared" si="7"/>
        <v>226.60841071468565</v>
      </c>
      <c r="AF176" s="42">
        <f>1-Table1[[#This Row],[cumulative debt until t]]</f>
        <v>-225.60841071468565</v>
      </c>
      <c r="AG176" s="46">
        <f>Table1[[#This Row],[cumulative debt until t]]*Table1[[#This Row],[Unconditional mortality NOW]]/Table1[[#This Row],[discouter with yield curve]]</f>
        <v>1.914936121240544E-24</v>
      </c>
      <c r="AH176" s="48">
        <f>Table1[[#This Row],[Unconditional mortality NOW]]/Table1[[#This Row],[discouter with yield curve]]</f>
        <v>8.4504194491332002E-27</v>
      </c>
      <c r="AI176" s="29">
        <f>Table1[[#This Row],[user profit (death benefit - debt)]]*Table1[[#This Row],[Unconditional mortality NOW]]/Table1[[#This Row],[discouter with yield curve]]</f>
        <v>-1.9064857017914105E-24</v>
      </c>
      <c r="AJ176" s="29">
        <f>(1+$D$4)^(Table1[[#This Row],[age since issue]]-$A$23)</f>
        <v>1935394818.9182003</v>
      </c>
      <c r="AK176" s="57">
        <f>Table1[[#This Row],[level premium marked up]]*Table1[[#This Row],[unconditional survival NOW]]</f>
        <v>3.3283736382880669E-28</v>
      </c>
      <c r="AL176" s="62">
        <f>Table1[[#This Row],[cumulative debt until t]]*Table1[[#This Row],[Unconditional mortality NOW]]</f>
        <v>3.7882134752488888E-23</v>
      </c>
      <c r="AM176" s="47">
        <f>Table1[[#This Row],[probablistic premium stream]]/Table1[[#This Row],[lender discounter]]</f>
        <v>1.7197388386874365E-37</v>
      </c>
      <c r="AN176" s="58">
        <f>Table1[[#This Row],[probablistic repay from borrower]]/Table1[[#This Row],[lender discounter]]</f>
        <v>1.9573336862430644E-32</v>
      </c>
      <c r="AO176" s="47">
        <f>(Table1[[#This Row],[probablistic repay from borrower]]-Table1[[#This Row],[probablistic premium stream]])/Table1[[#This Row],[lender discounter]]</f>
        <v>1.9573164888546773E-32</v>
      </c>
      <c r="AP176" s="46">
        <f>AP175*(1+$D$4)+ Table1[[#This Row],[level premium marked up]]</f>
        <v>29542674.479717907</v>
      </c>
      <c r="AQ176" s="58">
        <f>AP176*Table1[[#This Row],[Unconditional mortality NOW]]</f>
        <v>4.938649770588859E-18</v>
      </c>
      <c r="AR176" s="60">
        <f>Table1[[#This Row],[cumulative debt until t]]*Table1[[#This Row],[Unconditional mortality NOW]]</f>
        <v>3.7882134752488888E-23</v>
      </c>
      <c r="AS176" s="58">
        <f>Table1[[#This Row],[lender to pay cumulative probablistic undiscounted]]/Table1[[#This Row],[lender discounter]]</f>
        <v>2.5517531215410326E-27</v>
      </c>
    </row>
    <row r="177" spans="1:45" s="3" customFormat="1">
      <c r="A177" s="3">
        <v>181</v>
      </c>
      <c r="B177" s="8">
        <v>3.2000000000000001E-2</v>
      </c>
      <c r="C177" s="3">
        <v>0</v>
      </c>
      <c r="D177" s="8">
        <v>3.2000000000000001E-2</v>
      </c>
      <c r="E177" s="12">
        <v>0.99999999989999999</v>
      </c>
      <c r="F177" s="13">
        <f>1-Table1[[#This Row],[one-year conditional mortality AT ISSUE]]</f>
        <v>1.000000082740371E-10</v>
      </c>
      <c r="G177" s="13">
        <f>PRODUCT(F$17:F177)</f>
        <v>0</v>
      </c>
      <c r="H177" s="13">
        <f>Table1[[#This Row],[one-year conditional survival AT ISSUE]]*(1-Table1[[#This Row],[Lapse rate]])</f>
        <v>9.6800008009267909E-11</v>
      </c>
      <c r="I177" s="13">
        <f>PRODUCT(H$17:H177)</f>
        <v>0</v>
      </c>
      <c r="J177" s="13">
        <f>G176*Table1[[#This Row],[one-year conditional mortality AT ISSUE]]</f>
        <v>0</v>
      </c>
      <c r="K177" s="10">
        <f>I176*Table1[[#This Row],[one-year conditional mortality AT ISSUE]]</f>
        <v>0</v>
      </c>
      <c r="L177" s="3">
        <f t="shared" ref="L177:L197" si="8">$B$1</f>
        <v>1.9910109748700498E-3</v>
      </c>
      <c r="M177" s="44">
        <v>1</v>
      </c>
      <c r="N177" s="44">
        <f>Table1[[#This Row],[one-year conditional mortality AT ISSUE]]/Table1[[#This Row],[one-year conditional persistency AT ISSUE]]</f>
        <v>10330577656.607809</v>
      </c>
      <c r="O177" s="4">
        <f>(1+$B$14)^(Table1[[#This Row],[age since issue]]-$A$17)</f>
        <v>245.72874741357379</v>
      </c>
      <c r="P177" s="5">
        <f>(Table1[[#This Row],[level premium unmarked-up]]*Table1[[#This Row],[unconditional persistency AT ISSUE]]-Table1[[#This Row],[Death benefit pay probability]])</f>
        <v>0</v>
      </c>
      <c r="Q177" s="4">
        <f>Table1[[#This Row],[Issuer profit with unmarked-up level premium]]/Table1[[#This Row],[Issuer discounter at issue]]</f>
        <v>0</v>
      </c>
      <c r="R177" s="4">
        <f>(Table1[[#This Row],[variable premium unmarked up]]*Table1[[#This Row],[unconditional persistency AT ISSUE]]-Table1[[#This Row],[Death benefit pay probability]])</f>
        <v>0</v>
      </c>
      <c r="S177" s="6">
        <f>Table1[[#This Row],[level premium unmarked-up]]*(1+$B$15)</f>
        <v>1.9910109748700498E-3</v>
      </c>
      <c r="T177" s="6">
        <f>MIN(Table1[[#This Row],[variable premium unmarked up]]*(1+$B$15),1)</f>
        <v>1</v>
      </c>
      <c r="U177" s="6">
        <f>Table1[[#This Row],[level premium marked up]]-Table1[[#This Row],[variable premium marked up]]</f>
        <v>-0.99800898902512991</v>
      </c>
      <c r="V177" s="6">
        <f>Table1[[#This Row],[additional cash]]+V176*(1+$D$2)</f>
        <v>-86.875822636743976</v>
      </c>
      <c r="W177" s="12">
        <v>0.5</v>
      </c>
      <c r="X177" s="13">
        <f>1-Table1[[#This Row],[one-year conditional mortality NOW]]</f>
        <v>0.5</v>
      </c>
      <c r="Y177" s="49">
        <f>PRODUCT(X$17:X177)</f>
        <v>8.3585014856718831E-26</v>
      </c>
      <c r="Z177" s="13">
        <f>Table1[[#This Row],[one-year conditional survival NOW]]*(1-Table1[[#This Row],[Lapse rate]])</f>
        <v>0.48399999999999999</v>
      </c>
      <c r="AA177" s="13">
        <f>PRODUCT(Z$17:Z177)</f>
        <v>4.4148561843359345E-28</v>
      </c>
      <c r="AB177" s="50">
        <f>Y176*Table1[[#This Row],[one-year conditional mortality NOW]]</f>
        <v>8.3585014856718831E-26</v>
      </c>
      <c r="AC177" s="14">
        <v>1.9699999999999999E-2</v>
      </c>
      <c r="AD177" s="28">
        <f>(1+Table1[[#This Row],[Yield curve now]])^(Table1[[#This Row],[age since issue]]-$A$23)</f>
        <v>20.172167822542537</v>
      </c>
      <c r="AE177" s="46">
        <f t="shared" si="7"/>
        <v>239.95257219147121</v>
      </c>
      <c r="AF177" s="42">
        <f>1-Table1[[#This Row],[cumulative debt until t]]</f>
        <v>-238.95257219147121</v>
      </c>
      <c r="AG177" s="46">
        <f>Table1[[#This Row],[cumulative debt until t]]*Table1[[#This Row],[Unconditional mortality NOW]]/Table1[[#This Row],[discouter with yield curve]]</f>
        <v>9.9426296112402996E-25</v>
      </c>
      <c r="AH177" s="48">
        <f>Table1[[#This Row],[Unconditional mortality NOW]]/Table1[[#This Row],[discouter with yield curve]]</f>
        <v>4.1435811754110037E-27</v>
      </c>
      <c r="AI177" s="29">
        <f>Table1[[#This Row],[user profit (death benefit - debt)]]*Table1[[#This Row],[Unconditional mortality NOW]]/Table1[[#This Row],[discouter with yield curve]]</f>
        <v>-9.9011937994861903E-25</v>
      </c>
      <c r="AJ177" s="29">
        <f>(1+$D$4)^(Table1[[#This Row],[age since issue]]-$A$23)</f>
        <v>2225704041.7559304</v>
      </c>
      <c r="AK177" s="57">
        <f>Table1[[#This Row],[level premium marked up]]*Table1[[#This Row],[unconditional survival NOW]]</f>
        <v>1.6641868191440335E-28</v>
      </c>
      <c r="AL177" s="62">
        <f>Table1[[#This Row],[cumulative debt until t]]*Table1[[#This Row],[Unconditional mortality NOW]]</f>
        <v>2.0056439311532019E-23</v>
      </c>
      <c r="AM177" s="47">
        <f>Table1[[#This Row],[probablistic premium stream]]/Table1[[#This Row],[lender discounter]]</f>
        <v>7.4771253855975492E-38</v>
      </c>
      <c r="AN177" s="58">
        <f>Table1[[#This Row],[probablistic repay from borrower]]/Table1[[#This Row],[lender discounter]]</f>
        <v>9.0112786494779613E-33</v>
      </c>
      <c r="AO177" s="47">
        <f>(Table1[[#This Row],[probablistic repay from borrower]]-Table1[[#This Row],[probablistic premium stream]])/Table1[[#This Row],[lender discounter]]</f>
        <v>9.0112038782241038E-33</v>
      </c>
      <c r="AP177" s="46">
        <f>AP176*(1+$D$4)+ Table1[[#This Row],[level premium marked up]]</f>
        <v>33974075.653666601</v>
      </c>
      <c r="AQ177" s="58">
        <f>AP177*Table1[[#This Row],[Unconditional mortality NOW]]</f>
        <v>2.8397236182550122E-18</v>
      </c>
      <c r="AR177" s="60">
        <f>Table1[[#This Row],[cumulative debt until t]]*Table1[[#This Row],[Unconditional mortality NOW]]</f>
        <v>2.0056439311532019E-23</v>
      </c>
      <c r="AS177" s="58">
        <f>Table1[[#This Row],[lender to pay cumulative probablistic undiscounted]]/Table1[[#This Row],[lender discounter]]</f>
        <v>1.2758765608452872E-27</v>
      </c>
    </row>
    <row r="178" spans="1:45" s="3" customFormat="1">
      <c r="A178" s="3">
        <v>182</v>
      </c>
      <c r="B178" s="8">
        <v>3.2000000000000001E-2</v>
      </c>
      <c r="C178" s="3">
        <v>0</v>
      </c>
      <c r="D178" s="8">
        <v>3.2000000000000001E-2</v>
      </c>
      <c r="E178" s="12">
        <v>0.99999999989999999</v>
      </c>
      <c r="F178" s="13">
        <f>1-Table1[[#This Row],[one-year conditional mortality AT ISSUE]]</f>
        <v>1.000000082740371E-10</v>
      </c>
      <c r="G178" s="13">
        <f>PRODUCT(F$17:F178)</f>
        <v>0</v>
      </c>
      <c r="H178" s="13">
        <f>Table1[[#This Row],[one-year conditional survival AT ISSUE]]*(1-Table1[[#This Row],[Lapse rate]])</f>
        <v>9.6800008009267909E-11</v>
      </c>
      <c r="I178" s="13">
        <f>PRODUCT(H$17:H178)</f>
        <v>0</v>
      </c>
      <c r="J178" s="13">
        <f>G177*Table1[[#This Row],[one-year conditional mortality AT ISSUE]]</f>
        <v>0</v>
      </c>
      <c r="K178" s="10">
        <f>I177*Table1[[#This Row],[one-year conditional mortality AT ISSUE]]</f>
        <v>0</v>
      </c>
      <c r="L178" s="3">
        <f t="shared" si="8"/>
        <v>1.9910109748700498E-3</v>
      </c>
      <c r="M178" s="44">
        <v>1</v>
      </c>
      <c r="N178" s="44">
        <f>Table1[[#This Row],[one-year conditional mortality AT ISSUE]]/Table1[[#This Row],[one-year conditional persistency AT ISSUE]]</f>
        <v>10330577656.607809</v>
      </c>
      <c r="O178" s="4">
        <f>(1+$B$14)^(Table1[[#This Row],[age since issue]]-$A$17)</f>
        <v>254.32925357304885</v>
      </c>
      <c r="P178" s="5">
        <f>(Table1[[#This Row],[level premium unmarked-up]]*Table1[[#This Row],[unconditional persistency AT ISSUE]]-Table1[[#This Row],[Death benefit pay probability]])</f>
        <v>0</v>
      </c>
      <c r="Q178" s="4">
        <f>Table1[[#This Row],[Issuer profit with unmarked-up level premium]]/Table1[[#This Row],[Issuer discounter at issue]]</f>
        <v>0</v>
      </c>
      <c r="R178" s="4">
        <f>(Table1[[#This Row],[variable premium unmarked up]]*Table1[[#This Row],[unconditional persistency AT ISSUE]]-Table1[[#This Row],[Death benefit pay probability]])</f>
        <v>0</v>
      </c>
      <c r="S178" s="6">
        <f>Table1[[#This Row],[level premium unmarked-up]]*(1+$B$15)</f>
        <v>1.9910109748700498E-3</v>
      </c>
      <c r="T178" s="6">
        <f>MIN(Table1[[#This Row],[variable premium unmarked up]]*(1+$B$15),1)</f>
        <v>1</v>
      </c>
      <c r="U178" s="6">
        <f>Table1[[#This Row],[level premium marked up]]-Table1[[#This Row],[variable premium marked up]]</f>
        <v>-0.99800898902512991</v>
      </c>
      <c r="V178" s="6">
        <f>Table1[[#This Row],[additional cash]]+V177*(1+$D$2)</f>
        <v>-87.960707448405827</v>
      </c>
      <c r="W178" s="12">
        <v>0.5</v>
      </c>
      <c r="X178" s="13">
        <f>1-Table1[[#This Row],[one-year conditional mortality NOW]]</f>
        <v>0.5</v>
      </c>
      <c r="Y178" s="49">
        <f>PRODUCT(X$17:X178)</f>
        <v>4.1792507428359415E-26</v>
      </c>
      <c r="Z178" s="13">
        <f>Table1[[#This Row],[one-year conditional survival NOW]]*(1-Table1[[#This Row],[Lapse rate]])</f>
        <v>0.48399999999999999</v>
      </c>
      <c r="AA178" s="13">
        <f>PRODUCT(Z$17:Z178)</f>
        <v>2.1367903932185921E-28</v>
      </c>
      <c r="AB178" s="50">
        <f>Y177*Table1[[#This Row],[one-year conditional mortality NOW]]</f>
        <v>4.1792507428359415E-26</v>
      </c>
      <c r="AC178" s="14">
        <v>1.9699999999999999E-2</v>
      </c>
      <c r="AD178" s="28">
        <f>(1+Table1[[#This Row],[Yield curve now]])^(Table1[[#This Row],[age since issue]]-$A$23)</f>
        <v>20.569559528646625</v>
      </c>
      <c r="AE178" s="46">
        <f t="shared" si="7"/>
        <v>254.082399620882</v>
      </c>
      <c r="AF178" s="42">
        <f>1-Table1[[#This Row],[cumulative debt until t]]</f>
        <v>-253.082399620882</v>
      </c>
      <c r="AG178" s="46">
        <f>Table1[[#This Row],[cumulative debt until t]]*Table1[[#This Row],[Unconditional mortality NOW]]/Table1[[#This Row],[discouter with yield curve]]</f>
        <v>5.1623568111814386E-25</v>
      </c>
      <c r="AH178" s="48">
        <f>Table1[[#This Row],[Unconditional mortality NOW]]/Table1[[#This Row],[discouter with yield curve]]</f>
        <v>2.0317648207369833E-27</v>
      </c>
      <c r="AI178" s="29">
        <f>Table1[[#This Row],[user profit (death benefit - debt)]]*Table1[[#This Row],[Unconditional mortality NOW]]/Table1[[#This Row],[discouter with yield curve]]</f>
        <v>-5.1420391629740692E-25</v>
      </c>
      <c r="AJ178" s="29">
        <f>(1+$D$4)^(Table1[[#This Row],[age since issue]]-$A$23)</f>
        <v>2559559648.0193195</v>
      </c>
      <c r="AK178" s="57">
        <f>Table1[[#This Row],[level premium marked up]]*Table1[[#This Row],[unconditional survival NOW]]</f>
        <v>8.3209340957201674E-29</v>
      </c>
      <c r="AL178" s="62">
        <f>Table1[[#This Row],[cumulative debt until t]]*Table1[[#This Row],[Unconditional mortality NOW]]</f>
        <v>1.0618740573571097E-23</v>
      </c>
      <c r="AM178" s="47">
        <f>Table1[[#This Row],[probablistic premium stream]]/Table1[[#This Row],[lender discounter]]</f>
        <v>3.250924080694587E-38</v>
      </c>
      <c r="AN178" s="58">
        <f>Table1[[#This Row],[probablistic repay from borrower]]/Table1[[#This Row],[lender discounter]]</f>
        <v>4.1486591577532743E-33</v>
      </c>
      <c r="AO178" s="47">
        <f>(Table1[[#This Row],[probablistic repay from borrower]]-Table1[[#This Row],[probablistic premium stream]])/Table1[[#This Row],[lender discounter]]</f>
        <v>4.1486266485124671E-33</v>
      </c>
      <c r="AP178" s="46">
        <f>AP177*(1+$D$4)+ Table1[[#This Row],[level premium marked up]]</f>
        <v>39070187.003707595</v>
      </c>
      <c r="AQ178" s="58">
        <f>AP178*Table1[[#This Row],[Unconditional mortality NOW]]</f>
        <v>1.6328410805798412E-18</v>
      </c>
      <c r="AR178" s="60">
        <f>Table1[[#This Row],[cumulative debt until t]]*Table1[[#This Row],[Unconditional mortality NOW]]</f>
        <v>1.0618740573571097E-23</v>
      </c>
      <c r="AS178" s="58">
        <f>Table1[[#This Row],[lender to pay cumulative probablistic undiscounted]]/Table1[[#This Row],[lender discounter]]</f>
        <v>6.3793828045515294E-28</v>
      </c>
    </row>
    <row r="179" spans="1:45" s="3" customFormat="1">
      <c r="A179" s="3">
        <v>183</v>
      </c>
      <c r="B179" s="8">
        <v>3.2000000000000001E-2</v>
      </c>
      <c r="C179" s="3">
        <v>0</v>
      </c>
      <c r="D179" s="8">
        <v>3.2000000000000001E-2</v>
      </c>
      <c r="E179" s="12">
        <v>0.99999999989999999</v>
      </c>
      <c r="F179" s="13">
        <f>1-Table1[[#This Row],[one-year conditional mortality AT ISSUE]]</f>
        <v>1.000000082740371E-10</v>
      </c>
      <c r="G179" s="13">
        <f>PRODUCT(F$17:F179)</f>
        <v>0</v>
      </c>
      <c r="H179" s="13">
        <f>Table1[[#This Row],[one-year conditional survival AT ISSUE]]*(1-Table1[[#This Row],[Lapse rate]])</f>
        <v>9.6800008009267909E-11</v>
      </c>
      <c r="I179" s="13">
        <f>PRODUCT(H$17:H179)</f>
        <v>0</v>
      </c>
      <c r="J179" s="13">
        <f>G178*Table1[[#This Row],[one-year conditional mortality AT ISSUE]]</f>
        <v>0</v>
      </c>
      <c r="K179" s="10">
        <f>I178*Table1[[#This Row],[one-year conditional mortality AT ISSUE]]</f>
        <v>0</v>
      </c>
      <c r="L179" s="3">
        <f t="shared" si="8"/>
        <v>1.9910109748700498E-3</v>
      </c>
      <c r="M179" s="44">
        <v>1</v>
      </c>
      <c r="N179" s="44">
        <f>Table1[[#This Row],[one-year conditional mortality AT ISSUE]]/Table1[[#This Row],[one-year conditional persistency AT ISSUE]]</f>
        <v>10330577656.607809</v>
      </c>
      <c r="O179" s="4">
        <f>(1+$B$14)^(Table1[[#This Row],[age since issue]]-$A$17)</f>
        <v>263.23077744810553</v>
      </c>
      <c r="P179" s="5">
        <f>(Table1[[#This Row],[level premium unmarked-up]]*Table1[[#This Row],[unconditional persistency AT ISSUE]]-Table1[[#This Row],[Death benefit pay probability]])</f>
        <v>0</v>
      </c>
      <c r="Q179" s="4">
        <f>Table1[[#This Row],[Issuer profit with unmarked-up level premium]]/Table1[[#This Row],[Issuer discounter at issue]]</f>
        <v>0</v>
      </c>
      <c r="R179" s="4">
        <f>(Table1[[#This Row],[variable premium unmarked up]]*Table1[[#This Row],[unconditional persistency AT ISSUE]]-Table1[[#This Row],[Death benefit pay probability]])</f>
        <v>0</v>
      </c>
      <c r="S179" s="6">
        <f>Table1[[#This Row],[level premium unmarked-up]]*(1+$B$15)</f>
        <v>1.9910109748700498E-3</v>
      </c>
      <c r="T179" s="6">
        <f>MIN(Table1[[#This Row],[variable premium unmarked up]]*(1+$B$15),1)</f>
        <v>1</v>
      </c>
      <c r="U179" s="6">
        <f>Table1[[#This Row],[level premium marked up]]-Table1[[#This Row],[variable premium marked up]]</f>
        <v>-0.99800898902512991</v>
      </c>
      <c r="V179" s="6">
        <f>Table1[[#This Row],[additional cash]]+V178*(1+$D$2)</f>
        <v>-89.046677144879354</v>
      </c>
      <c r="W179" s="12">
        <v>0.5</v>
      </c>
      <c r="X179" s="13">
        <f>1-Table1[[#This Row],[one-year conditional mortality NOW]]</f>
        <v>0.5</v>
      </c>
      <c r="Y179" s="49">
        <f>PRODUCT(X$17:X179)</f>
        <v>2.0896253714179708E-26</v>
      </c>
      <c r="Z179" s="13">
        <f>Table1[[#This Row],[one-year conditional survival NOW]]*(1-Table1[[#This Row],[Lapse rate]])</f>
        <v>0.48399999999999999</v>
      </c>
      <c r="AA179" s="13">
        <f>PRODUCT(Z$17:Z179)</f>
        <v>1.0342065503177985E-28</v>
      </c>
      <c r="AB179" s="50">
        <f>Y178*Table1[[#This Row],[one-year conditional mortality NOW]]</f>
        <v>2.0896253714179708E-26</v>
      </c>
      <c r="AC179" s="14">
        <v>1.9699999999999999E-2</v>
      </c>
      <c r="AD179" s="28">
        <f>(1+Table1[[#This Row],[Yield curve now]])^(Table1[[#This Row],[age since issue]]-$A$23)</f>
        <v>20.974779851360967</v>
      </c>
      <c r="AE179" s="46">
        <f t="shared" si="7"/>
        <v>269.04415076067886</v>
      </c>
      <c r="AF179" s="42">
        <f>1-Table1[[#This Row],[cumulative debt until t]]</f>
        <v>-268.04415076067886</v>
      </c>
      <c r="AG179" s="46">
        <f>Table1[[#This Row],[cumulative debt until t]]*Table1[[#This Row],[Unconditional mortality NOW]]/Table1[[#This Row],[discouter with yield curve]]</f>
        <v>2.6803689356703172E-25</v>
      </c>
      <c r="AH179" s="48">
        <f>Table1[[#This Row],[Unconditional mortality NOW]]/Table1[[#This Row],[discouter with yield curve]]</f>
        <v>9.9625616393889527E-28</v>
      </c>
      <c r="AI179" s="29">
        <f>Table1[[#This Row],[user profit (death benefit - debt)]]*Table1[[#This Row],[Unconditional mortality NOW]]/Table1[[#This Row],[discouter with yield curve]]</f>
        <v>-2.6704063740309282E-25</v>
      </c>
      <c r="AJ179" s="29">
        <f>(1+$D$4)^(Table1[[#This Row],[age since issue]]-$A$23)</f>
        <v>2943493595.2222171</v>
      </c>
      <c r="AK179" s="57">
        <f>Table1[[#This Row],[level premium marked up]]*Table1[[#This Row],[unconditional survival NOW]]</f>
        <v>4.1604670478600837E-29</v>
      </c>
      <c r="AL179" s="62">
        <f>Table1[[#This Row],[cumulative debt until t]]*Table1[[#This Row],[Unconditional mortality NOW]]</f>
        <v>5.622014834611161E-24</v>
      </c>
      <c r="AM179" s="47">
        <f>Table1[[#This Row],[probablistic premium stream]]/Table1[[#This Row],[lender discounter]]</f>
        <v>1.4134452524759076E-38</v>
      </c>
      <c r="AN179" s="58">
        <f>Table1[[#This Row],[probablistic repay from borrower]]/Table1[[#This Row],[lender discounter]]</f>
        <v>1.9099803185359846E-33</v>
      </c>
      <c r="AO179" s="47">
        <f>(Table1[[#This Row],[probablistic repay from borrower]]-Table1[[#This Row],[probablistic premium stream]])/Table1[[#This Row],[lender discounter]]</f>
        <v>1.90996618408346E-33</v>
      </c>
      <c r="AP179" s="46">
        <f>AP178*(1+$D$4)+ Table1[[#This Row],[level premium marked up]]</f>
        <v>44930715.056254745</v>
      </c>
      <c r="AQ179" s="58">
        <f>AP179*Table1[[#This Row],[Unconditional mortality NOW]]</f>
        <v>9.3888362137501328E-19</v>
      </c>
      <c r="AR179" s="60">
        <f>Table1[[#This Row],[cumulative debt until t]]*Table1[[#This Row],[Unconditional mortality NOW]]</f>
        <v>5.622014834611161E-24</v>
      </c>
      <c r="AS179" s="58">
        <f>Table1[[#This Row],[lender to pay cumulative probablistic undiscounted]]/Table1[[#This Row],[lender discounter]]</f>
        <v>3.1896914024171093E-28</v>
      </c>
    </row>
    <row r="180" spans="1:45" s="3" customFormat="1">
      <c r="A180" s="3">
        <v>184</v>
      </c>
      <c r="B180" s="8">
        <v>3.2000000000000001E-2</v>
      </c>
      <c r="C180" s="3">
        <v>0</v>
      </c>
      <c r="D180" s="8">
        <v>3.2000000000000001E-2</v>
      </c>
      <c r="E180" s="12">
        <v>0.99999999989999999</v>
      </c>
      <c r="F180" s="13">
        <f>1-Table1[[#This Row],[one-year conditional mortality AT ISSUE]]</f>
        <v>1.000000082740371E-10</v>
      </c>
      <c r="G180" s="13">
        <f>PRODUCT(F$17:F180)</f>
        <v>0</v>
      </c>
      <c r="H180" s="13">
        <f>Table1[[#This Row],[one-year conditional survival AT ISSUE]]*(1-Table1[[#This Row],[Lapse rate]])</f>
        <v>9.6800008009267909E-11</v>
      </c>
      <c r="I180" s="13">
        <f>PRODUCT(H$17:H180)</f>
        <v>0</v>
      </c>
      <c r="J180" s="13">
        <f>G179*Table1[[#This Row],[one-year conditional mortality AT ISSUE]]</f>
        <v>0</v>
      </c>
      <c r="K180" s="10">
        <f>I179*Table1[[#This Row],[one-year conditional mortality AT ISSUE]]</f>
        <v>0</v>
      </c>
      <c r="L180" s="3">
        <f t="shared" si="8"/>
        <v>1.9910109748700498E-3</v>
      </c>
      <c r="M180" s="44">
        <v>1</v>
      </c>
      <c r="N180" s="44">
        <f>Table1[[#This Row],[one-year conditional mortality AT ISSUE]]/Table1[[#This Row],[one-year conditional persistency AT ISSUE]]</f>
        <v>10330577656.607809</v>
      </c>
      <c r="O180" s="4">
        <f>(1+$B$14)^(Table1[[#This Row],[age since issue]]-$A$17)</f>
        <v>272.44385465878923</v>
      </c>
      <c r="P180" s="5">
        <f>(Table1[[#This Row],[level premium unmarked-up]]*Table1[[#This Row],[unconditional persistency AT ISSUE]]-Table1[[#This Row],[Death benefit pay probability]])</f>
        <v>0</v>
      </c>
      <c r="Q180" s="4">
        <f>Table1[[#This Row],[Issuer profit with unmarked-up level premium]]/Table1[[#This Row],[Issuer discounter at issue]]</f>
        <v>0</v>
      </c>
      <c r="R180" s="4">
        <f>(Table1[[#This Row],[variable premium unmarked up]]*Table1[[#This Row],[unconditional persistency AT ISSUE]]-Table1[[#This Row],[Death benefit pay probability]])</f>
        <v>0</v>
      </c>
      <c r="S180" s="6">
        <f>Table1[[#This Row],[level premium unmarked-up]]*(1+$B$15)</f>
        <v>1.9910109748700498E-3</v>
      </c>
      <c r="T180" s="6">
        <f>MIN(Table1[[#This Row],[variable premium unmarked up]]*(1+$B$15),1)</f>
        <v>1</v>
      </c>
      <c r="U180" s="6">
        <f>Table1[[#This Row],[level premium marked up]]-Table1[[#This Row],[variable premium marked up]]</f>
        <v>-0.99800898902512991</v>
      </c>
      <c r="V180" s="6">
        <f>Table1[[#This Row],[additional cash]]+V179*(1+$D$2)</f>
        <v>-90.133732811049342</v>
      </c>
      <c r="W180" s="12">
        <v>0.5</v>
      </c>
      <c r="X180" s="13">
        <f>1-Table1[[#This Row],[one-year conditional mortality NOW]]</f>
        <v>0.5</v>
      </c>
      <c r="Y180" s="49">
        <f>PRODUCT(X$17:X180)</f>
        <v>1.0448126857089854E-26</v>
      </c>
      <c r="Z180" s="13">
        <f>Table1[[#This Row],[one-year conditional survival NOW]]*(1-Table1[[#This Row],[Lapse rate]])</f>
        <v>0.48399999999999999</v>
      </c>
      <c r="AA180" s="13">
        <f>PRODUCT(Z$17:Z180)</f>
        <v>5.0055597035381447E-29</v>
      </c>
      <c r="AB180" s="50">
        <f>Y179*Table1[[#This Row],[one-year conditional mortality NOW]]</f>
        <v>1.0448126857089854E-26</v>
      </c>
      <c r="AC180" s="14">
        <v>1.9699999999999999E-2</v>
      </c>
      <c r="AD180" s="28">
        <f>(1+Table1[[#This Row],[Yield curve now]])^(Table1[[#This Row],[age since issue]]-$A$23)</f>
        <v>21.387983014432777</v>
      </c>
      <c r="AE180" s="46">
        <f t="shared" si="7"/>
        <v>284.88680689271814</v>
      </c>
      <c r="AF180" s="42">
        <f>1-Table1[[#This Row],[cumulative debt until t]]</f>
        <v>-283.88680689271814</v>
      </c>
      <c r="AG180" s="46">
        <f>Table1[[#This Row],[cumulative debt until t]]*Table1[[#This Row],[Unconditional mortality NOW]]/Table1[[#This Row],[discouter with yield curve]]</f>
        <v>1.3916849926043945E-25</v>
      </c>
      <c r="AH180" s="48">
        <f>Table1[[#This Row],[Unconditional mortality NOW]]/Table1[[#This Row],[discouter with yield curve]]</f>
        <v>4.8850454248254158E-28</v>
      </c>
      <c r="AI180" s="29">
        <f>Table1[[#This Row],[user profit (death benefit - debt)]]*Table1[[#This Row],[Unconditional mortality NOW]]/Table1[[#This Row],[discouter with yield curve]]</f>
        <v>-1.3867999471795692E-25</v>
      </c>
      <c r="AJ180" s="29">
        <f>(1+$D$4)^(Table1[[#This Row],[age since issue]]-$A$23)</f>
        <v>3385017634.5055494</v>
      </c>
      <c r="AK180" s="57">
        <f>Table1[[#This Row],[level premium marked up]]*Table1[[#This Row],[unconditional survival NOW]]</f>
        <v>2.0802335239300418E-29</v>
      </c>
      <c r="AL180" s="62">
        <f>Table1[[#This Row],[cumulative debt until t]]*Table1[[#This Row],[Unconditional mortality NOW]]</f>
        <v>2.9765334983263794E-24</v>
      </c>
      <c r="AM180" s="47">
        <f>Table1[[#This Row],[probablistic premium stream]]/Table1[[#This Row],[lender discounter]]</f>
        <v>6.1454141411995994E-39</v>
      </c>
      <c r="AN180" s="58">
        <f>Table1[[#This Row],[probablistic repay from borrower]]/Table1[[#This Row],[lender discounter]]</f>
        <v>8.7932584692757824E-34</v>
      </c>
      <c r="AO180" s="47">
        <f>(Table1[[#This Row],[probablistic repay from borrower]]-Table1[[#This Row],[probablistic premium stream]])/Table1[[#This Row],[lender discounter]]</f>
        <v>8.7931970151343699E-34</v>
      </c>
      <c r="AP180" s="46">
        <f>AP179*(1+$D$4)+ Table1[[#This Row],[level premium marked up]]</f>
        <v>51670322.316683963</v>
      </c>
      <c r="AQ180" s="58">
        <f>AP180*Table1[[#This Row],[Unconditional mortality NOW]]</f>
        <v>5.3985808231143493E-19</v>
      </c>
      <c r="AR180" s="60">
        <f>Table1[[#This Row],[cumulative debt until t]]*Table1[[#This Row],[Unconditional mortality NOW]]</f>
        <v>2.9765334983263794E-24</v>
      </c>
      <c r="AS180" s="58">
        <f>Table1[[#This Row],[lender to pay cumulative probablistic undiscounted]]/Table1[[#This Row],[lender discounter]]</f>
        <v>1.5948457012700089E-28</v>
      </c>
    </row>
    <row r="181" spans="1:45" s="3" customFormat="1">
      <c r="A181" s="3">
        <v>185</v>
      </c>
      <c r="B181" s="8">
        <v>3.2000000000000001E-2</v>
      </c>
      <c r="C181" s="3">
        <v>0</v>
      </c>
      <c r="D181" s="8">
        <v>3.2000000000000001E-2</v>
      </c>
      <c r="E181" s="12">
        <v>0.99999999989999999</v>
      </c>
      <c r="F181" s="13">
        <f>1-Table1[[#This Row],[one-year conditional mortality AT ISSUE]]</f>
        <v>1.000000082740371E-10</v>
      </c>
      <c r="G181" s="13">
        <f>PRODUCT(F$17:F181)</f>
        <v>0</v>
      </c>
      <c r="H181" s="13">
        <f>Table1[[#This Row],[one-year conditional survival AT ISSUE]]*(1-Table1[[#This Row],[Lapse rate]])</f>
        <v>9.6800008009267909E-11</v>
      </c>
      <c r="I181" s="13">
        <f>PRODUCT(H$17:H181)</f>
        <v>0</v>
      </c>
      <c r="J181" s="13">
        <f>G180*Table1[[#This Row],[one-year conditional mortality AT ISSUE]]</f>
        <v>0</v>
      </c>
      <c r="K181" s="10">
        <f>I180*Table1[[#This Row],[one-year conditional mortality AT ISSUE]]</f>
        <v>0</v>
      </c>
      <c r="L181" s="3">
        <f t="shared" si="8"/>
        <v>1.9910109748700498E-3</v>
      </c>
      <c r="M181" s="44">
        <v>1</v>
      </c>
      <c r="N181" s="44">
        <f>Table1[[#This Row],[one-year conditional mortality AT ISSUE]]/Table1[[#This Row],[one-year conditional persistency AT ISSUE]]</f>
        <v>10330577656.607809</v>
      </c>
      <c r="O181" s="4">
        <f>(1+$B$14)^(Table1[[#This Row],[age since issue]]-$A$17)</f>
        <v>281.97938957184681</v>
      </c>
      <c r="P181" s="5">
        <f>(Table1[[#This Row],[level premium unmarked-up]]*Table1[[#This Row],[unconditional persistency AT ISSUE]]-Table1[[#This Row],[Death benefit pay probability]])</f>
        <v>0</v>
      </c>
      <c r="Q181" s="4">
        <f>Table1[[#This Row],[Issuer profit with unmarked-up level premium]]/Table1[[#This Row],[Issuer discounter at issue]]</f>
        <v>0</v>
      </c>
      <c r="R181" s="4">
        <f>(Table1[[#This Row],[variable premium unmarked up]]*Table1[[#This Row],[unconditional persistency AT ISSUE]]-Table1[[#This Row],[Death benefit pay probability]])</f>
        <v>0</v>
      </c>
      <c r="S181" s="6">
        <f>Table1[[#This Row],[level premium unmarked-up]]*(1+$B$15)</f>
        <v>1.9910109748700498E-3</v>
      </c>
      <c r="T181" s="6">
        <f>MIN(Table1[[#This Row],[variable premium unmarked up]]*(1+$B$15),1)</f>
        <v>1</v>
      </c>
      <c r="U181" s="6">
        <f>Table1[[#This Row],[level premium marked up]]-Table1[[#This Row],[variable premium marked up]]</f>
        <v>-0.99800898902512991</v>
      </c>
      <c r="V181" s="6">
        <f>Table1[[#This Row],[additional cash]]+V180*(1+$D$2)</f>
        <v>-91.221875532885505</v>
      </c>
      <c r="W181" s="12">
        <v>0.5</v>
      </c>
      <c r="X181" s="13">
        <f>1-Table1[[#This Row],[one-year conditional mortality NOW]]</f>
        <v>0.5</v>
      </c>
      <c r="Y181" s="49">
        <f>PRODUCT(X$17:X181)</f>
        <v>5.2240634285449269E-27</v>
      </c>
      <c r="Z181" s="13">
        <f>Table1[[#This Row],[one-year conditional survival NOW]]*(1-Table1[[#This Row],[Lapse rate]])</f>
        <v>0.48399999999999999</v>
      </c>
      <c r="AA181" s="13">
        <f>PRODUCT(Z$17:Z181)</f>
        <v>2.422690896512462E-29</v>
      </c>
      <c r="AB181" s="50">
        <f>Y180*Table1[[#This Row],[one-year conditional mortality NOW]]</f>
        <v>5.2240634285449269E-27</v>
      </c>
      <c r="AC181" s="14">
        <v>1.9699999999999999E-2</v>
      </c>
      <c r="AD181" s="28">
        <f>(1+Table1[[#This Row],[Yield curve now]])^(Table1[[#This Row],[age since issue]]-$A$23)</f>
        <v>21.809326279817103</v>
      </c>
      <c r="AE181" s="46">
        <f t="shared" si="7"/>
        <v>301.66223317623877</v>
      </c>
      <c r="AF181" s="42">
        <f>1-Table1[[#This Row],[cumulative debt until t]]</f>
        <v>-300.66223317623877</v>
      </c>
      <c r="AG181" s="46">
        <f>Table1[[#This Row],[cumulative debt until t]]*Table1[[#This Row],[Unconditional mortality NOW]]/Table1[[#This Row],[discouter with yield curve]]</f>
        <v>7.2258199079150875E-26</v>
      </c>
      <c r="AH181" s="48">
        <f>Table1[[#This Row],[Unconditional mortality NOW]]/Table1[[#This Row],[discouter with yield curve]]</f>
        <v>2.3953346203910051E-28</v>
      </c>
      <c r="AI181" s="29">
        <f>Table1[[#This Row],[user profit (death benefit - debt)]]*Table1[[#This Row],[Unconditional mortality NOW]]/Table1[[#This Row],[discouter with yield curve]]</f>
        <v>-7.201866561711177E-26</v>
      </c>
      <c r="AJ181" s="29">
        <f>(1+$D$4)^(Table1[[#This Row],[age since issue]]-$A$23)</f>
        <v>3892770279.6813822</v>
      </c>
      <c r="AK181" s="57">
        <f>Table1[[#This Row],[level premium marked up]]*Table1[[#This Row],[unconditional survival NOW]]</f>
        <v>1.0401167619650209E-29</v>
      </c>
      <c r="AL181" s="62">
        <f>Table1[[#This Row],[cumulative debt until t]]*Table1[[#This Row],[Unconditional mortality NOW]]</f>
        <v>1.5759026401091811E-24</v>
      </c>
      <c r="AM181" s="47">
        <f>Table1[[#This Row],[probablistic premium stream]]/Table1[[#This Row],[lender discounter]]</f>
        <v>2.6719191918259122E-39</v>
      </c>
      <c r="AN181" s="58">
        <f>Table1[[#This Row],[probablistic repay from borrower]]/Table1[[#This Row],[lender discounter]]</f>
        <v>4.0482805993837545E-34</v>
      </c>
      <c r="AO181" s="47">
        <f>(Table1[[#This Row],[probablistic repay from borrower]]-Table1[[#This Row],[probablistic premium stream]])/Table1[[#This Row],[lender discounter]]</f>
        <v>4.0482538801918357E-34</v>
      </c>
      <c r="AP181" s="46">
        <f>AP180*(1+$D$4)+ Table1[[#This Row],[level premium marked up]]</f>
        <v>59420870.666177563</v>
      </c>
      <c r="AQ181" s="58">
        <f>AP181*Table1[[#This Row],[Unconditional mortality NOW]]</f>
        <v>3.1041839733947622E-19</v>
      </c>
      <c r="AR181" s="60">
        <f>Table1[[#This Row],[cumulative debt until t]]*Table1[[#This Row],[Unconditional mortality NOW]]</f>
        <v>1.5759026401091811E-24</v>
      </c>
      <c r="AS181" s="58">
        <f>Table1[[#This Row],[lender to pay cumulative probablistic undiscounted]]/Table1[[#This Row],[lender discounter]]</f>
        <v>7.9742285066172339E-29</v>
      </c>
    </row>
    <row r="182" spans="1:45" s="3" customFormat="1">
      <c r="A182" s="3">
        <v>186</v>
      </c>
      <c r="B182" s="8">
        <v>3.2000000000000001E-2</v>
      </c>
      <c r="C182" s="3">
        <v>0</v>
      </c>
      <c r="D182" s="8">
        <v>3.2000000000000001E-2</v>
      </c>
      <c r="E182" s="12">
        <v>0.99999999989999999</v>
      </c>
      <c r="F182" s="13">
        <f>1-Table1[[#This Row],[one-year conditional mortality AT ISSUE]]</f>
        <v>1.000000082740371E-10</v>
      </c>
      <c r="G182" s="13">
        <f>PRODUCT(F$17:F182)</f>
        <v>0</v>
      </c>
      <c r="H182" s="13">
        <f>Table1[[#This Row],[one-year conditional survival AT ISSUE]]*(1-Table1[[#This Row],[Lapse rate]])</f>
        <v>9.6800008009267909E-11</v>
      </c>
      <c r="I182" s="13">
        <f>PRODUCT(H$17:H182)</f>
        <v>0</v>
      </c>
      <c r="J182" s="13">
        <f>G181*Table1[[#This Row],[one-year conditional mortality AT ISSUE]]</f>
        <v>0</v>
      </c>
      <c r="K182" s="10">
        <f>I181*Table1[[#This Row],[one-year conditional mortality AT ISSUE]]</f>
        <v>0</v>
      </c>
      <c r="L182" s="3">
        <f t="shared" si="8"/>
        <v>1.9910109748700498E-3</v>
      </c>
      <c r="M182" s="44">
        <v>1</v>
      </c>
      <c r="N182" s="44">
        <f>Table1[[#This Row],[one-year conditional mortality AT ISSUE]]/Table1[[#This Row],[one-year conditional persistency AT ISSUE]]</f>
        <v>10330577656.607809</v>
      </c>
      <c r="O182" s="4">
        <f>(1+$B$14)^(Table1[[#This Row],[age since issue]]-$A$17)</f>
        <v>291.84866820686142</v>
      </c>
      <c r="P182" s="5">
        <f>(Table1[[#This Row],[level premium unmarked-up]]*Table1[[#This Row],[unconditional persistency AT ISSUE]]-Table1[[#This Row],[Death benefit pay probability]])</f>
        <v>0</v>
      </c>
      <c r="Q182" s="4">
        <f>Table1[[#This Row],[Issuer profit with unmarked-up level premium]]/Table1[[#This Row],[Issuer discounter at issue]]</f>
        <v>0</v>
      </c>
      <c r="R182" s="4">
        <f>(Table1[[#This Row],[variable premium unmarked up]]*Table1[[#This Row],[unconditional persistency AT ISSUE]]-Table1[[#This Row],[Death benefit pay probability]])</f>
        <v>0</v>
      </c>
      <c r="S182" s="6">
        <f>Table1[[#This Row],[level premium unmarked-up]]*(1+$B$15)</f>
        <v>1.9910109748700498E-3</v>
      </c>
      <c r="T182" s="6">
        <f>MIN(Table1[[#This Row],[variable premium unmarked up]]*(1+$B$15),1)</f>
        <v>1</v>
      </c>
      <c r="U182" s="6">
        <f>Table1[[#This Row],[level premium marked up]]-Table1[[#This Row],[variable premium marked up]]</f>
        <v>-0.99800898902512991</v>
      </c>
      <c r="V182" s="6">
        <f>Table1[[#This Row],[additional cash]]+V181*(1+$D$2)</f>
        <v>-92.31110639744351</v>
      </c>
      <c r="W182" s="12">
        <v>0.5</v>
      </c>
      <c r="X182" s="13">
        <f>1-Table1[[#This Row],[one-year conditional mortality NOW]]</f>
        <v>0.5</v>
      </c>
      <c r="Y182" s="49">
        <f>PRODUCT(X$17:X182)</f>
        <v>2.6120317142724635E-27</v>
      </c>
      <c r="Z182" s="13">
        <f>Table1[[#This Row],[one-year conditional survival NOW]]*(1-Table1[[#This Row],[Lapse rate]])</f>
        <v>0.48399999999999999</v>
      </c>
      <c r="AA182" s="13">
        <f>PRODUCT(Z$17:Z182)</f>
        <v>1.1725823939120315E-29</v>
      </c>
      <c r="AB182" s="50">
        <f>Y181*Table1[[#This Row],[one-year conditional mortality NOW]]</f>
        <v>2.6120317142724635E-27</v>
      </c>
      <c r="AC182" s="14">
        <v>1.9699999999999999E-2</v>
      </c>
      <c r="AD182" s="28">
        <f>(1+Table1[[#This Row],[Yield curve now]])^(Table1[[#This Row],[age since issue]]-$A$23)</f>
        <v>22.238970007529499</v>
      </c>
      <c r="AE182" s="46">
        <f t="shared" si="7"/>
        <v>319.42534844229044</v>
      </c>
      <c r="AF182" s="42">
        <f>1-Table1[[#This Row],[cumulative debt until t]]</f>
        <v>-318.42534844229044</v>
      </c>
      <c r="AG182" s="46">
        <f>Table1[[#This Row],[cumulative debt until t]]*Table1[[#This Row],[Unconditional mortality NOW]]/Table1[[#This Row],[discouter with yield curve]]</f>
        <v>3.7517436292746802E-26</v>
      </c>
      <c r="AH182" s="48">
        <f>Table1[[#This Row],[Unconditional mortality NOW]]/Table1[[#This Row],[discouter with yield curve]]</f>
        <v>1.174529087178094E-28</v>
      </c>
      <c r="AI182" s="29">
        <f>Table1[[#This Row],[user profit (death benefit - debt)]]*Table1[[#This Row],[Unconditional mortality NOW]]/Table1[[#This Row],[discouter with yield curve]]</f>
        <v>-3.7399983384028995E-26</v>
      </c>
      <c r="AJ182" s="29">
        <f>(1+$D$4)^(Table1[[#This Row],[age since issue]]-$A$23)</f>
        <v>4476685821.6335888</v>
      </c>
      <c r="AK182" s="57">
        <f>Table1[[#This Row],[level premium marked up]]*Table1[[#This Row],[unconditional survival NOW]]</f>
        <v>5.2005838098251046E-30</v>
      </c>
      <c r="AL182" s="62">
        <f>Table1[[#This Row],[cumulative debt until t]]*Table1[[#This Row],[Unconditional mortality NOW]]</f>
        <v>8.3434914047379489E-25</v>
      </c>
      <c r="AM182" s="47">
        <f>Table1[[#This Row],[probablistic premium stream]]/Table1[[#This Row],[lender discounter]]</f>
        <v>1.161703996446049E-39</v>
      </c>
      <c r="AN182" s="58">
        <f>Table1[[#This Row],[probablistic repay from borrower]]/Table1[[#This Row],[lender discounter]]</f>
        <v>1.8637652355271434E-34</v>
      </c>
      <c r="AO182" s="47">
        <f>(Table1[[#This Row],[probablistic repay from borrower]]-Table1[[#This Row],[probablistic premium stream]])/Table1[[#This Row],[lender discounter]]</f>
        <v>1.8637536184871789E-34</v>
      </c>
      <c r="AP182" s="46">
        <f>AP181*(1+$D$4)+ Table1[[#This Row],[level premium marked up]]</f>
        <v>68334001.268095195</v>
      </c>
      <c r="AQ182" s="58">
        <f>AP182*Table1[[#This Row],[Unconditional mortality NOW]]</f>
        <v>1.7849057847539939E-19</v>
      </c>
      <c r="AR182" s="60">
        <f>Table1[[#This Row],[cumulative debt until t]]*Table1[[#This Row],[Unconditional mortality NOW]]</f>
        <v>8.3434914047379489E-25</v>
      </c>
      <c r="AS182" s="58">
        <f>Table1[[#This Row],[lender to pay cumulative probablistic undiscounted]]/Table1[[#This Row],[lender discounter]]</f>
        <v>3.9871142534247879E-29</v>
      </c>
    </row>
    <row r="183" spans="1:45" s="3" customFormat="1">
      <c r="A183" s="3">
        <v>187</v>
      </c>
      <c r="B183" s="8">
        <v>3.2000000000000001E-2</v>
      </c>
      <c r="C183" s="3">
        <v>0</v>
      </c>
      <c r="D183" s="8">
        <v>3.2000000000000001E-2</v>
      </c>
      <c r="E183" s="12">
        <v>0.99999999989999999</v>
      </c>
      <c r="F183" s="13">
        <f>1-Table1[[#This Row],[one-year conditional mortality AT ISSUE]]</f>
        <v>1.000000082740371E-10</v>
      </c>
      <c r="G183" s="13">
        <f>PRODUCT(F$17:F183)</f>
        <v>0</v>
      </c>
      <c r="H183" s="13">
        <f>Table1[[#This Row],[one-year conditional survival AT ISSUE]]*(1-Table1[[#This Row],[Lapse rate]])</f>
        <v>9.6800008009267909E-11</v>
      </c>
      <c r="I183" s="13">
        <f>PRODUCT(H$17:H183)</f>
        <v>0</v>
      </c>
      <c r="J183" s="13">
        <f>G182*Table1[[#This Row],[one-year conditional mortality AT ISSUE]]</f>
        <v>0</v>
      </c>
      <c r="K183" s="10">
        <f>I182*Table1[[#This Row],[one-year conditional mortality AT ISSUE]]</f>
        <v>0</v>
      </c>
      <c r="L183" s="3">
        <f t="shared" si="8"/>
        <v>1.9910109748700498E-3</v>
      </c>
      <c r="M183" s="44">
        <v>1</v>
      </c>
      <c r="N183" s="44">
        <f>Table1[[#This Row],[one-year conditional mortality AT ISSUE]]/Table1[[#This Row],[one-year conditional persistency AT ISSUE]]</f>
        <v>10330577656.607809</v>
      </c>
      <c r="O183" s="4">
        <f>(1+$B$14)^(Table1[[#This Row],[age since issue]]-$A$17)</f>
        <v>302.06337159410162</v>
      </c>
      <c r="P183" s="5">
        <f>(Table1[[#This Row],[level premium unmarked-up]]*Table1[[#This Row],[unconditional persistency AT ISSUE]]-Table1[[#This Row],[Death benefit pay probability]])</f>
        <v>0</v>
      </c>
      <c r="Q183" s="4">
        <f>Table1[[#This Row],[Issuer profit with unmarked-up level premium]]/Table1[[#This Row],[Issuer discounter at issue]]</f>
        <v>0</v>
      </c>
      <c r="R183" s="4">
        <f>(Table1[[#This Row],[variable premium unmarked up]]*Table1[[#This Row],[unconditional persistency AT ISSUE]]-Table1[[#This Row],[Death benefit pay probability]])</f>
        <v>0</v>
      </c>
      <c r="S183" s="6">
        <f>Table1[[#This Row],[level premium unmarked-up]]*(1+$B$15)</f>
        <v>1.9910109748700498E-3</v>
      </c>
      <c r="T183" s="6">
        <f>MIN(Table1[[#This Row],[variable premium unmarked up]]*(1+$B$15),1)</f>
        <v>1</v>
      </c>
      <c r="U183" s="6">
        <f>Table1[[#This Row],[level premium marked up]]-Table1[[#This Row],[variable premium marked up]]</f>
        <v>-0.99800898902512991</v>
      </c>
      <c r="V183" s="6">
        <f>Table1[[#This Row],[additional cash]]+V182*(1+$D$2)</f>
        <v>-93.401426492866065</v>
      </c>
      <c r="W183" s="12">
        <v>0.5</v>
      </c>
      <c r="X183" s="13">
        <f>1-Table1[[#This Row],[one-year conditional mortality NOW]]</f>
        <v>0.5</v>
      </c>
      <c r="Y183" s="49">
        <f>PRODUCT(X$17:X183)</f>
        <v>1.3060158571362317E-27</v>
      </c>
      <c r="Z183" s="13">
        <f>Table1[[#This Row],[one-year conditional survival NOW]]*(1-Table1[[#This Row],[Lapse rate]])</f>
        <v>0.48399999999999999</v>
      </c>
      <c r="AA183" s="13">
        <f>PRODUCT(Z$17:Z183)</f>
        <v>5.6752987865342323E-30</v>
      </c>
      <c r="AB183" s="50">
        <f>Y182*Table1[[#This Row],[one-year conditional mortality NOW]]</f>
        <v>1.3060158571362317E-27</v>
      </c>
      <c r="AC183" s="14">
        <v>1.9699999999999999E-2</v>
      </c>
      <c r="AD183" s="28">
        <f>(1+Table1[[#This Row],[Yield curve now]])^(Table1[[#This Row],[age since issue]]-$A$23)</f>
        <v>22.677077716677832</v>
      </c>
      <c r="AE183" s="46">
        <f t="shared" si="7"/>
        <v>338.23430498517115</v>
      </c>
      <c r="AF183" s="42">
        <f>1-Table1[[#This Row],[cumulative debt until t]]</f>
        <v>-337.23430498517115</v>
      </c>
      <c r="AG183" s="46">
        <f>Table1[[#This Row],[cumulative debt until t]]*Table1[[#This Row],[Unconditional mortality NOW]]/Table1[[#This Row],[discouter with yield curve]]</f>
        <v>1.9479554255494271E-26</v>
      </c>
      <c r="AH183" s="48">
        <f>Table1[[#This Row],[Unconditional mortality NOW]]/Table1[[#This Row],[discouter with yield curve]]</f>
        <v>5.7591894046194662E-29</v>
      </c>
      <c r="AI183" s="29">
        <f>Table1[[#This Row],[user profit (death benefit - debt)]]*Table1[[#This Row],[Unconditional mortality NOW]]/Table1[[#This Row],[discouter with yield curve]]</f>
        <v>-1.9421962361448073E-26</v>
      </c>
      <c r="AJ183" s="29">
        <f>(1+$D$4)^(Table1[[#This Row],[age since issue]]-$A$23)</f>
        <v>5148188694.8786259</v>
      </c>
      <c r="AK183" s="57">
        <f>Table1[[#This Row],[level premium marked up]]*Table1[[#This Row],[unconditional survival NOW]]</f>
        <v>2.6002919049125523E-30</v>
      </c>
      <c r="AL183" s="62">
        <f>Table1[[#This Row],[cumulative debt until t]]*Table1[[#This Row],[Unconditional mortality NOW]]</f>
        <v>4.4173936573808596E-25</v>
      </c>
      <c r="AM183" s="47">
        <f>Table1[[#This Row],[probablistic premium stream]]/Table1[[#This Row],[lender discounter]]</f>
        <v>5.0508869410697792E-40</v>
      </c>
      <c r="AN183" s="58">
        <f>Table1[[#This Row],[probablistic repay from borrower]]/Table1[[#This Row],[lender discounter]]</f>
        <v>8.5804812511539159E-35</v>
      </c>
      <c r="AO183" s="47">
        <f>(Table1[[#This Row],[probablistic repay from borrower]]-Table1[[#This Row],[probablistic premium stream]])/Table1[[#This Row],[lender discounter]]</f>
        <v>8.580430742284505E-35</v>
      </c>
      <c r="AP183" s="46">
        <f>AP182*(1+$D$4)+ Table1[[#This Row],[level premium marked up]]</f>
        <v>78584101.460300475</v>
      </c>
      <c r="AQ183" s="58">
        <f>AP183*Table1[[#This Row],[Unconditional mortality NOW]]</f>
        <v>1.0263208262595493E-19</v>
      </c>
      <c r="AR183" s="60">
        <f>Table1[[#This Row],[cumulative debt until t]]*Table1[[#This Row],[Unconditional mortality NOW]]</f>
        <v>4.4173936573808596E-25</v>
      </c>
      <c r="AS183" s="58">
        <f>Table1[[#This Row],[lender to pay cumulative probablistic undiscounted]]/Table1[[#This Row],[lender discounter]]</f>
        <v>1.9935571267629029E-29</v>
      </c>
    </row>
    <row r="184" spans="1:45" s="3" customFormat="1">
      <c r="A184" s="3">
        <v>188</v>
      </c>
      <c r="B184" s="8">
        <v>3.2000000000000001E-2</v>
      </c>
      <c r="C184" s="3">
        <v>0</v>
      </c>
      <c r="D184" s="8">
        <v>3.2000000000000001E-2</v>
      </c>
      <c r="E184" s="12">
        <v>0.99999999989999999</v>
      </c>
      <c r="F184" s="13">
        <f>1-Table1[[#This Row],[one-year conditional mortality AT ISSUE]]</f>
        <v>1.000000082740371E-10</v>
      </c>
      <c r="G184" s="13">
        <f>PRODUCT(F$17:F184)</f>
        <v>0</v>
      </c>
      <c r="H184" s="13">
        <f>Table1[[#This Row],[one-year conditional survival AT ISSUE]]*(1-Table1[[#This Row],[Lapse rate]])</f>
        <v>9.6800008009267909E-11</v>
      </c>
      <c r="I184" s="13">
        <f>PRODUCT(H$17:H184)</f>
        <v>0</v>
      </c>
      <c r="J184" s="13">
        <f>G183*Table1[[#This Row],[one-year conditional mortality AT ISSUE]]</f>
        <v>0</v>
      </c>
      <c r="K184" s="10">
        <f>I183*Table1[[#This Row],[one-year conditional mortality AT ISSUE]]</f>
        <v>0</v>
      </c>
      <c r="L184" s="3">
        <f t="shared" si="8"/>
        <v>1.9910109748700498E-3</v>
      </c>
      <c r="M184" s="44">
        <v>1</v>
      </c>
      <c r="N184" s="44">
        <f>Table1[[#This Row],[one-year conditional mortality AT ISSUE]]/Table1[[#This Row],[one-year conditional persistency AT ISSUE]]</f>
        <v>10330577656.607809</v>
      </c>
      <c r="O184" s="4">
        <f>(1+$B$14)^(Table1[[#This Row],[age since issue]]-$A$17)</f>
        <v>312.63558959989513</v>
      </c>
      <c r="P184" s="5">
        <f>(Table1[[#This Row],[level premium unmarked-up]]*Table1[[#This Row],[unconditional persistency AT ISSUE]]-Table1[[#This Row],[Death benefit pay probability]])</f>
        <v>0</v>
      </c>
      <c r="Q184" s="4">
        <f>Table1[[#This Row],[Issuer profit with unmarked-up level premium]]/Table1[[#This Row],[Issuer discounter at issue]]</f>
        <v>0</v>
      </c>
      <c r="R184" s="4">
        <f>(Table1[[#This Row],[variable premium unmarked up]]*Table1[[#This Row],[unconditional persistency AT ISSUE]]-Table1[[#This Row],[Death benefit pay probability]])</f>
        <v>0</v>
      </c>
      <c r="S184" s="6">
        <f>Table1[[#This Row],[level premium unmarked-up]]*(1+$B$15)</f>
        <v>1.9910109748700498E-3</v>
      </c>
      <c r="T184" s="6">
        <f>MIN(Table1[[#This Row],[variable premium unmarked up]]*(1+$B$15),1)</f>
        <v>1</v>
      </c>
      <c r="U184" s="6">
        <f>Table1[[#This Row],[level premium marked up]]-Table1[[#This Row],[variable premium marked up]]</f>
        <v>-0.99800898902512991</v>
      </c>
      <c r="V184" s="6">
        <f>Table1[[#This Row],[additional cash]]+V183*(1+$D$2)</f>
        <v>-94.492836908384049</v>
      </c>
      <c r="W184" s="12">
        <v>0.5</v>
      </c>
      <c r="X184" s="13">
        <f>1-Table1[[#This Row],[one-year conditional mortality NOW]]</f>
        <v>0.5</v>
      </c>
      <c r="Y184" s="49">
        <f>PRODUCT(X$17:X184)</f>
        <v>6.5300792856811586E-28</v>
      </c>
      <c r="Z184" s="13">
        <f>Table1[[#This Row],[one-year conditional survival NOW]]*(1-Table1[[#This Row],[Lapse rate]])</f>
        <v>0.48399999999999999</v>
      </c>
      <c r="AA184" s="13">
        <f>PRODUCT(Z$17:Z184)</f>
        <v>2.7468446126825682E-30</v>
      </c>
      <c r="AB184" s="50">
        <f>Y183*Table1[[#This Row],[one-year conditional mortality NOW]]</f>
        <v>6.5300792856811586E-28</v>
      </c>
      <c r="AC184" s="14">
        <v>1.9699999999999999E-2</v>
      </c>
      <c r="AD184" s="28">
        <f>(1+Table1[[#This Row],[Yield curve now]])^(Table1[[#This Row],[age since issue]]-$A$23)</f>
        <v>23.123816147696388</v>
      </c>
      <c r="AE184" s="46">
        <f t="shared" si="7"/>
        <v>358.15067893946861</v>
      </c>
      <c r="AF184" s="42">
        <f>1-Table1[[#This Row],[cumulative debt until t]]</f>
        <v>-357.15067893946861</v>
      </c>
      <c r="AG184" s="46">
        <f>Table1[[#This Row],[cumulative debt until t]]*Table1[[#This Row],[Unconditional mortality NOW]]/Table1[[#This Row],[discouter with yield curve]]</f>
        <v>1.0114041362192094E-26</v>
      </c>
      <c r="AH184" s="48">
        <f>Table1[[#This Row],[Unconditional mortality NOW]]/Table1[[#This Row],[discouter with yield curve]]</f>
        <v>2.8239626383345422E-29</v>
      </c>
      <c r="AI184" s="29">
        <f>Table1[[#This Row],[user profit (death benefit - debt)]]*Table1[[#This Row],[Unconditional mortality NOW]]/Table1[[#This Row],[discouter with yield curve]]</f>
        <v>-1.0085801735808748E-26</v>
      </c>
      <c r="AJ184" s="29">
        <f>(1+$D$4)^(Table1[[#This Row],[age since issue]]-$A$23)</f>
        <v>5920416999.1104183</v>
      </c>
      <c r="AK184" s="57">
        <f>Table1[[#This Row],[level premium marked up]]*Table1[[#This Row],[unconditional survival NOW]]</f>
        <v>1.3001459524562762E-30</v>
      </c>
      <c r="AL184" s="62">
        <f>Table1[[#This Row],[cumulative debt until t]]*Table1[[#This Row],[Unconditional mortality NOW]]</f>
        <v>2.3387523296952671E-25</v>
      </c>
      <c r="AM184" s="47">
        <f>Table1[[#This Row],[probablistic premium stream]]/Table1[[#This Row],[lender discounter]]</f>
        <v>2.1960378004651222E-40</v>
      </c>
      <c r="AN184" s="58">
        <f>Table1[[#This Row],[probablistic repay from borrower]]/Table1[[#This Row],[lender discounter]]</f>
        <v>3.9503168949867551E-35</v>
      </c>
      <c r="AO184" s="47">
        <f>(Table1[[#This Row],[probablistic repay from borrower]]-Table1[[#This Row],[probablistic premium stream]])/Table1[[#This Row],[lender discounter]]</f>
        <v>3.9502949346087505E-35</v>
      </c>
      <c r="AP184" s="46">
        <f>AP183*(1+$D$4)+ Table1[[#This Row],[level premium marked up]]</f>
        <v>90371716.681336537</v>
      </c>
      <c r="AQ184" s="58">
        <f>AP184*Table1[[#This Row],[Unconditional mortality NOW]]</f>
        <v>5.9013447511224216E-20</v>
      </c>
      <c r="AR184" s="60">
        <f>Table1[[#This Row],[cumulative debt until t]]*Table1[[#This Row],[Unconditional mortality NOW]]</f>
        <v>2.3387523296952671E-25</v>
      </c>
      <c r="AS184" s="58">
        <f>Table1[[#This Row],[lender to pay cumulative probablistic undiscounted]]/Table1[[#This Row],[lender discounter]]</f>
        <v>9.9677856340341192E-30</v>
      </c>
    </row>
    <row r="185" spans="1:45" s="3" customFormat="1">
      <c r="A185" s="3">
        <v>189</v>
      </c>
      <c r="B185" s="8">
        <v>3.2000000000000001E-2</v>
      </c>
      <c r="C185" s="3">
        <v>0</v>
      </c>
      <c r="D185" s="8">
        <v>3.2000000000000001E-2</v>
      </c>
      <c r="E185" s="12">
        <v>0.99999999989999999</v>
      </c>
      <c r="F185" s="13">
        <f>1-Table1[[#This Row],[one-year conditional mortality AT ISSUE]]</f>
        <v>1.000000082740371E-10</v>
      </c>
      <c r="G185" s="13">
        <f>PRODUCT(F$17:F185)</f>
        <v>0</v>
      </c>
      <c r="H185" s="13">
        <f>Table1[[#This Row],[one-year conditional survival AT ISSUE]]*(1-Table1[[#This Row],[Lapse rate]])</f>
        <v>9.6800008009267909E-11</v>
      </c>
      <c r="I185" s="13">
        <f>PRODUCT(H$17:H185)</f>
        <v>0</v>
      </c>
      <c r="J185" s="13">
        <f>G184*Table1[[#This Row],[one-year conditional mortality AT ISSUE]]</f>
        <v>0</v>
      </c>
      <c r="K185" s="10">
        <f>I184*Table1[[#This Row],[one-year conditional mortality AT ISSUE]]</f>
        <v>0</v>
      </c>
      <c r="L185" s="3">
        <f t="shared" si="8"/>
        <v>1.9910109748700498E-3</v>
      </c>
      <c r="M185" s="44">
        <v>1</v>
      </c>
      <c r="N185" s="44">
        <f>Table1[[#This Row],[one-year conditional mortality AT ISSUE]]/Table1[[#This Row],[one-year conditional persistency AT ISSUE]]</f>
        <v>10330577656.607809</v>
      </c>
      <c r="O185" s="4">
        <f>(1+$B$14)^(Table1[[#This Row],[age since issue]]-$A$17)</f>
        <v>323.57783523589137</v>
      </c>
      <c r="P185" s="5">
        <f>(Table1[[#This Row],[level premium unmarked-up]]*Table1[[#This Row],[unconditional persistency AT ISSUE]]-Table1[[#This Row],[Death benefit pay probability]])</f>
        <v>0</v>
      </c>
      <c r="Q185" s="4">
        <f>Table1[[#This Row],[Issuer profit with unmarked-up level premium]]/Table1[[#This Row],[Issuer discounter at issue]]</f>
        <v>0</v>
      </c>
      <c r="R185" s="4">
        <f>(Table1[[#This Row],[variable premium unmarked up]]*Table1[[#This Row],[unconditional persistency AT ISSUE]]-Table1[[#This Row],[Death benefit pay probability]])</f>
        <v>0</v>
      </c>
      <c r="S185" s="6">
        <f>Table1[[#This Row],[level premium unmarked-up]]*(1+$B$15)</f>
        <v>1.9910109748700498E-3</v>
      </c>
      <c r="T185" s="6">
        <f>MIN(Table1[[#This Row],[variable premium unmarked up]]*(1+$B$15),1)</f>
        <v>1</v>
      </c>
      <c r="U185" s="6">
        <f>Table1[[#This Row],[level premium marked up]]-Table1[[#This Row],[variable premium marked up]]</f>
        <v>-0.99800898902512991</v>
      </c>
      <c r="V185" s="6">
        <f>Table1[[#This Row],[additional cash]]+V184*(1+$D$2)</f>
        <v>-95.585338734317546</v>
      </c>
      <c r="W185" s="12">
        <v>0.5</v>
      </c>
      <c r="X185" s="13">
        <f>1-Table1[[#This Row],[one-year conditional mortality NOW]]</f>
        <v>0.5</v>
      </c>
      <c r="Y185" s="49">
        <f>PRODUCT(X$17:X185)</f>
        <v>3.2650396428405793E-28</v>
      </c>
      <c r="Z185" s="13">
        <f>Table1[[#This Row],[one-year conditional survival NOW]]*(1-Table1[[#This Row],[Lapse rate]])</f>
        <v>0.48399999999999999</v>
      </c>
      <c r="AA185" s="13">
        <f>PRODUCT(Z$17:Z185)</f>
        <v>1.3294727925383629E-30</v>
      </c>
      <c r="AB185" s="50">
        <f>Y184*Table1[[#This Row],[one-year conditional mortality NOW]]</f>
        <v>3.2650396428405793E-28</v>
      </c>
      <c r="AC185" s="14">
        <v>1.9699999999999999E-2</v>
      </c>
      <c r="AD185" s="28">
        <f>(1+Table1[[#This Row],[Yield curve now]])^(Table1[[#This Row],[age since issue]]-$A$23)</f>
        <v>23.579355325806006</v>
      </c>
      <c r="AE185" s="46">
        <f t="shared" si="7"/>
        <v>379.23967186595593</v>
      </c>
      <c r="AF185" s="42">
        <f>1-Table1[[#This Row],[cumulative debt until t]]</f>
        <v>-378.23967186595593</v>
      </c>
      <c r="AG185" s="46">
        <f>Table1[[#This Row],[cumulative debt until t]]*Table1[[#This Row],[Unconditional mortality NOW]]/Table1[[#This Row],[discouter with yield curve]]</f>
        <v>5.2513418864553843E-27</v>
      </c>
      <c r="AH185" s="48">
        <f>Table1[[#This Row],[Unconditional mortality NOW]]/Table1[[#This Row],[discouter with yield curve]]</f>
        <v>1.3847026764413763E-29</v>
      </c>
      <c r="AI185" s="29">
        <f>Table1[[#This Row],[user profit (death benefit - debt)]]*Table1[[#This Row],[Unconditional mortality NOW]]/Table1[[#This Row],[discouter with yield curve]]</f>
        <v>-5.2374948596909702E-27</v>
      </c>
      <c r="AJ185" s="29">
        <f>(1+$D$4)^(Table1[[#This Row],[age since issue]]-$A$23)</f>
        <v>6808479548.9769812</v>
      </c>
      <c r="AK185" s="57">
        <f>Table1[[#This Row],[level premium marked up]]*Table1[[#This Row],[unconditional survival NOW]]</f>
        <v>6.5007297622813808E-31</v>
      </c>
      <c r="AL185" s="62">
        <f>Table1[[#This Row],[cumulative debt until t]]*Table1[[#This Row],[Unconditional mortality NOW]]</f>
        <v>1.2382325627801992E-25</v>
      </c>
      <c r="AM185" s="47">
        <f>Table1[[#This Row],[probablistic premium stream]]/Table1[[#This Row],[lender discounter]]</f>
        <v>9.5479904368048774E-41</v>
      </c>
      <c r="AN185" s="58">
        <f>Table1[[#This Row],[probablistic repay from borrower]]/Table1[[#This Row],[lender discounter]]</f>
        <v>1.8186623810396136E-35</v>
      </c>
      <c r="AO185" s="47">
        <f>(Table1[[#This Row],[probablistic repay from borrower]]-Table1[[#This Row],[probablistic premium stream]])/Table1[[#This Row],[lender discounter]]</f>
        <v>1.8186528330491767E-35</v>
      </c>
      <c r="AP185" s="46">
        <f>AP184*(1+$D$4)+ Table1[[#This Row],[level premium marked up]]</f>
        <v>103927474.18552801</v>
      </c>
      <c r="AQ185" s="58">
        <f>AP185*Table1[[#This Row],[Unconditional mortality NOW]]</f>
        <v>3.3932732319603988E-20</v>
      </c>
      <c r="AR185" s="60">
        <f>Table1[[#This Row],[cumulative debt until t]]*Table1[[#This Row],[Unconditional mortality NOW]]</f>
        <v>1.2382325627801992E-25</v>
      </c>
      <c r="AS185" s="58">
        <f>Table1[[#This Row],[lender to pay cumulative probablistic undiscounted]]/Table1[[#This Row],[lender discounter]]</f>
        <v>4.9838928171125378E-30</v>
      </c>
    </row>
    <row r="186" spans="1:45" s="3" customFormat="1">
      <c r="A186" s="3">
        <v>190</v>
      </c>
      <c r="B186" s="8">
        <v>3.2000000000000001E-2</v>
      </c>
      <c r="C186" s="3">
        <v>0</v>
      </c>
      <c r="D186" s="8">
        <v>3.2000000000000001E-2</v>
      </c>
      <c r="E186" s="12">
        <v>0.99999999989999999</v>
      </c>
      <c r="F186" s="13">
        <f>1-Table1[[#This Row],[one-year conditional mortality AT ISSUE]]</f>
        <v>1.000000082740371E-10</v>
      </c>
      <c r="G186" s="13">
        <f>PRODUCT(F$17:F186)</f>
        <v>0</v>
      </c>
      <c r="H186" s="13">
        <f>Table1[[#This Row],[one-year conditional survival AT ISSUE]]*(1-Table1[[#This Row],[Lapse rate]])</f>
        <v>9.6800008009267909E-11</v>
      </c>
      <c r="I186" s="13">
        <f>PRODUCT(H$17:H186)</f>
        <v>0</v>
      </c>
      <c r="J186" s="13">
        <f>G185*Table1[[#This Row],[one-year conditional mortality AT ISSUE]]</f>
        <v>0</v>
      </c>
      <c r="K186" s="10">
        <f>I185*Table1[[#This Row],[one-year conditional mortality AT ISSUE]]</f>
        <v>0</v>
      </c>
      <c r="L186" s="3">
        <f t="shared" si="8"/>
        <v>1.9910109748700498E-3</v>
      </c>
      <c r="M186" s="44">
        <v>1</v>
      </c>
      <c r="N186" s="44">
        <f>Table1[[#This Row],[one-year conditional mortality AT ISSUE]]/Table1[[#This Row],[one-year conditional persistency AT ISSUE]]</f>
        <v>10330577656.607809</v>
      </c>
      <c r="O186" s="4">
        <f>(1+$B$14)^(Table1[[#This Row],[age since issue]]-$A$17)</f>
        <v>334.90305946914754</v>
      </c>
      <c r="P186" s="5">
        <f>(Table1[[#This Row],[level premium unmarked-up]]*Table1[[#This Row],[unconditional persistency AT ISSUE]]-Table1[[#This Row],[Death benefit pay probability]])</f>
        <v>0</v>
      </c>
      <c r="Q186" s="4">
        <f>Table1[[#This Row],[Issuer profit with unmarked-up level premium]]/Table1[[#This Row],[Issuer discounter at issue]]</f>
        <v>0</v>
      </c>
      <c r="R186" s="4">
        <f>(Table1[[#This Row],[variable premium unmarked up]]*Table1[[#This Row],[unconditional persistency AT ISSUE]]-Table1[[#This Row],[Death benefit pay probability]])</f>
        <v>0</v>
      </c>
      <c r="S186" s="6">
        <f>Table1[[#This Row],[level premium unmarked-up]]*(1+$B$15)</f>
        <v>1.9910109748700498E-3</v>
      </c>
      <c r="T186" s="6">
        <f>MIN(Table1[[#This Row],[variable premium unmarked up]]*(1+$B$15),1)</f>
        <v>1</v>
      </c>
      <c r="U186" s="6">
        <f>Table1[[#This Row],[level premium marked up]]-Table1[[#This Row],[variable premium marked up]]</f>
        <v>-0.99800898902512991</v>
      </c>
      <c r="V186" s="6">
        <f>Table1[[#This Row],[additional cash]]+V185*(1+$D$2)</f>
        <v>-96.678933062076979</v>
      </c>
      <c r="W186" s="12">
        <v>0.5</v>
      </c>
      <c r="X186" s="13">
        <f>1-Table1[[#This Row],[one-year conditional mortality NOW]]</f>
        <v>0.5</v>
      </c>
      <c r="Y186" s="49">
        <f>PRODUCT(X$17:X186)</f>
        <v>1.6325198214202897E-28</v>
      </c>
      <c r="Z186" s="13">
        <f>Table1[[#This Row],[one-year conditional survival NOW]]*(1-Table1[[#This Row],[Lapse rate]])</f>
        <v>0.48399999999999999</v>
      </c>
      <c r="AA186" s="13">
        <f>PRODUCT(Z$17:Z186)</f>
        <v>6.4346483158856767E-31</v>
      </c>
      <c r="AB186" s="50">
        <f>Y185*Table1[[#This Row],[one-year conditional mortality NOW]]</f>
        <v>1.6325198214202897E-28</v>
      </c>
      <c r="AC186" s="14">
        <v>1.9699999999999999E-2</v>
      </c>
      <c r="AD186" s="28">
        <f>(1+Table1[[#This Row],[Yield curve now]])^(Table1[[#This Row],[age since issue]]-$A$23)</f>
        <v>24.043868625724382</v>
      </c>
      <c r="AE186" s="46">
        <f t="shared" si="7"/>
        <v>401.5703242062865</v>
      </c>
      <c r="AF186" s="42">
        <f>1-Table1[[#This Row],[cumulative debt until t]]</f>
        <v>-400.5703242062865</v>
      </c>
      <c r="AG186" s="46">
        <f>Table1[[#This Row],[cumulative debt until t]]*Table1[[#This Row],[Unconditional mortality NOW]]/Table1[[#This Row],[discouter with yield curve]]</f>
        <v>2.7265641988225756E-27</v>
      </c>
      <c r="AH186" s="48">
        <f>Table1[[#This Row],[Unconditional mortality NOW]]/Table1[[#This Row],[discouter with yield curve]]</f>
        <v>6.7897552046747883E-30</v>
      </c>
      <c r="AI186" s="29">
        <f>Table1[[#This Row],[user profit (death benefit - debt)]]*Table1[[#This Row],[Unconditional mortality NOW]]/Table1[[#This Row],[discouter with yield curve]]</f>
        <v>-2.7197744436179009E-27</v>
      </c>
      <c r="AJ186" s="29">
        <f>(1+$D$4)^(Table1[[#This Row],[age since issue]]-$A$23)</f>
        <v>7829751481.3235264</v>
      </c>
      <c r="AK186" s="57">
        <f>Table1[[#This Row],[level premium marked up]]*Table1[[#This Row],[unconditional survival NOW]]</f>
        <v>3.2503648811406904E-31</v>
      </c>
      <c r="AL186" s="62">
        <f>Table1[[#This Row],[cumulative debt until t]]*Table1[[#This Row],[Unconditional mortality NOW]]</f>
        <v>6.5557151396093461E-26</v>
      </c>
      <c r="AM186" s="47">
        <f>Table1[[#This Row],[probablistic premium stream]]/Table1[[#This Row],[lender discounter]]</f>
        <v>4.1513001899151654E-41</v>
      </c>
      <c r="AN186" s="58">
        <f>Table1[[#This Row],[probablistic repay from borrower]]/Table1[[#This Row],[lender discounter]]</f>
        <v>8.3728265900224727E-36</v>
      </c>
      <c r="AO186" s="47">
        <f>(Table1[[#This Row],[probablistic repay from borrower]]-Table1[[#This Row],[probablistic premium stream]])/Table1[[#This Row],[lender discounter]]</f>
        <v>8.3727850770205722E-36</v>
      </c>
      <c r="AP186" s="46">
        <f>AP185*(1+$D$4)+ Table1[[#This Row],[level premium marked up]]</f>
        <v>119516595.31534821</v>
      </c>
      <c r="AQ186" s="58">
        <f>AP186*Table1[[#This Row],[Unconditional mortality NOW]]</f>
        <v>1.9511321084097329E-20</v>
      </c>
      <c r="AR186" s="60">
        <f>Table1[[#This Row],[cumulative debt until t]]*Table1[[#This Row],[Unconditional mortality NOW]]</f>
        <v>6.5557151396093461E-26</v>
      </c>
      <c r="AS186" s="58">
        <f>Table1[[#This Row],[lender to pay cumulative probablistic undiscounted]]/Table1[[#This Row],[lender discounter]]</f>
        <v>2.4919464085977823E-30</v>
      </c>
    </row>
    <row r="187" spans="1:45" s="3" customFormat="1">
      <c r="A187" s="3">
        <v>191</v>
      </c>
      <c r="B187" s="8">
        <v>3.2000000000000001E-2</v>
      </c>
      <c r="C187" s="3">
        <v>0</v>
      </c>
      <c r="D187" s="8">
        <v>3.2000000000000001E-2</v>
      </c>
      <c r="E187" s="12">
        <v>0.99999999989999999</v>
      </c>
      <c r="F187" s="13">
        <f>1-Table1[[#This Row],[one-year conditional mortality AT ISSUE]]</f>
        <v>1.000000082740371E-10</v>
      </c>
      <c r="G187" s="13">
        <f>PRODUCT(F$17:F187)</f>
        <v>0</v>
      </c>
      <c r="H187" s="13">
        <f>Table1[[#This Row],[one-year conditional survival AT ISSUE]]*(1-Table1[[#This Row],[Lapse rate]])</f>
        <v>9.6800008009267909E-11</v>
      </c>
      <c r="I187" s="13">
        <f>PRODUCT(H$17:H187)</f>
        <v>0</v>
      </c>
      <c r="J187" s="13">
        <f>G186*Table1[[#This Row],[one-year conditional mortality AT ISSUE]]</f>
        <v>0</v>
      </c>
      <c r="K187" s="10">
        <f>I186*Table1[[#This Row],[one-year conditional mortality AT ISSUE]]</f>
        <v>0</v>
      </c>
      <c r="L187" s="3">
        <f t="shared" si="8"/>
        <v>1.9910109748700498E-3</v>
      </c>
      <c r="M187" s="44">
        <v>1</v>
      </c>
      <c r="N187" s="44">
        <f>Table1[[#This Row],[one-year conditional mortality AT ISSUE]]/Table1[[#This Row],[one-year conditional persistency AT ISSUE]]</f>
        <v>10330577656.607809</v>
      </c>
      <c r="O187" s="4">
        <f>(1+$B$14)^(Table1[[#This Row],[age since issue]]-$A$17)</f>
        <v>346.62466655056767</v>
      </c>
      <c r="P187" s="5">
        <f>(Table1[[#This Row],[level premium unmarked-up]]*Table1[[#This Row],[unconditional persistency AT ISSUE]]-Table1[[#This Row],[Death benefit pay probability]])</f>
        <v>0</v>
      </c>
      <c r="Q187" s="4">
        <f>Table1[[#This Row],[Issuer profit with unmarked-up level premium]]/Table1[[#This Row],[Issuer discounter at issue]]</f>
        <v>0</v>
      </c>
      <c r="R187" s="4">
        <f>(Table1[[#This Row],[variable premium unmarked up]]*Table1[[#This Row],[unconditional persistency AT ISSUE]]-Table1[[#This Row],[Death benefit pay probability]])</f>
        <v>0</v>
      </c>
      <c r="S187" s="6">
        <f>Table1[[#This Row],[level premium unmarked-up]]*(1+$B$15)</f>
        <v>1.9910109748700498E-3</v>
      </c>
      <c r="T187" s="6">
        <f>MIN(Table1[[#This Row],[variable premium unmarked up]]*(1+$B$15),1)</f>
        <v>1</v>
      </c>
      <c r="U187" s="6">
        <f>Table1[[#This Row],[level premium marked up]]-Table1[[#This Row],[variable premium marked up]]</f>
        <v>-0.99800898902512991</v>
      </c>
      <c r="V187" s="6">
        <f>Table1[[#This Row],[additional cash]]+V186*(1+$D$2)</f>
        <v>-97.773620984164168</v>
      </c>
      <c r="W187" s="12">
        <v>0.5</v>
      </c>
      <c r="X187" s="13">
        <f>1-Table1[[#This Row],[one-year conditional mortality NOW]]</f>
        <v>0.5</v>
      </c>
      <c r="Y187" s="49">
        <f>PRODUCT(X$17:X187)</f>
        <v>8.1625991071014483E-29</v>
      </c>
      <c r="Z187" s="13">
        <f>Table1[[#This Row],[one-year conditional survival NOW]]*(1-Table1[[#This Row],[Lapse rate]])</f>
        <v>0.48399999999999999</v>
      </c>
      <c r="AA187" s="13">
        <f>PRODUCT(Z$17:Z187)</f>
        <v>3.1143697848886672E-31</v>
      </c>
      <c r="AB187" s="50">
        <f>Y186*Table1[[#This Row],[one-year conditional mortality NOW]]</f>
        <v>8.1625991071014483E-29</v>
      </c>
      <c r="AC187" s="14">
        <v>1.9699999999999999E-2</v>
      </c>
      <c r="AD187" s="28">
        <f>(1+Table1[[#This Row],[Yield curve now]])^(Table1[[#This Row],[age since issue]]-$A$23)</f>
        <v>24.517532837651157</v>
      </c>
      <c r="AE187" s="46">
        <f t="shared" si="7"/>
        <v>425.21574130528927</v>
      </c>
      <c r="AF187" s="42">
        <f>1-Table1[[#This Row],[cumulative debt until t]]</f>
        <v>-424.21574130528927</v>
      </c>
      <c r="AG187" s="46">
        <f>Table1[[#This Row],[cumulative debt until t]]*Table1[[#This Row],[Unconditional mortality NOW]]/Table1[[#This Row],[discouter with yield curve]]</f>
        <v>1.4156667611244657E-27</v>
      </c>
      <c r="AH187" s="48">
        <f>Table1[[#This Row],[Unconditional mortality NOW]]/Table1[[#This Row],[discouter with yield curve]]</f>
        <v>3.3292905779517438E-30</v>
      </c>
      <c r="AI187" s="29">
        <f>Table1[[#This Row],[user profit (death benefit - debt)]]*Table1[[#This Row],[Unconditional mortality NOW]]/Table1[[#This Row],[discouter with yield curve]]</f>
        <v>-1.4123374705465139E-27</v>
      </c>
      <c r="AJ187" s="29">
        <f>(1+$D$4)^(Table1[[#This Row],[age since issue]]-$A$23)</f>
        <v>9004214203.5220566</v>
      </c>
      <c r="AK187" s="57">
        <f>Table1[[#This Row],[level premium marked up]]*Table1[[#This Row],[unconditional survival NOW]]</f>
        <v>1.6251824405703452E-31</v>
      </c>
      <c r="AL187" s="62">
        <f>Table1[[#This Row],[cumulative debt until t]]*Table1[[#This Row],[Unconditional mortality NOW]]</f>
        <v>3.4708656303040344E-26</v>
      </c>
      <c r="AM187" s="47">
        <f>Table1[[#This Row],[probablistic premium stream]]/Table1[[#This Row],[lender discounter]]</f>
        <v>1.8049131260500717E-41</v>
      </c>
      <c r="AN187" s="58">
        <f>Table1[[#This Row],[probablistic repay from borrower]]/Table1[[#This Row],[lender discounter]]</f>
        <v>3.8547124178214051E-36</v>
      </c>
      <c r="AO187" s="47">
        <f>(Table1[[#This Row],[probablistic repay from borrower]]-Table1[[#This Row],[probablistic premium stream]])/Table1[[#This Row],[lender discounter]]</f>
        <v>3.8546943686901446E-36</v>
      </c>
      <c r="AP187" s="46">
        <f>AP186*(1+$D$4)+ Table1[[#This Row],[level premium marked up]]</f>
        <v>137444084.61464143</v>
      </c>
      <c r="AQ187" s="58">
        <f>AP187*Table1[[#This Row],[Unconditional mortality NOW]]</f>
        <v>1.1219009623518481E-20</v>
      </c>
      <c r="AR187" s="60">
        <f>Table1[[#This Row],[cumulative debt until t]]*Table1[[#This Row],[Unconditional mortality NOW]]</f>
        <v>3.4708656303040344E-26</v>
      </c>
      <c r="AS187" s="58">
        <f>Table1[[#This Row],[lender to pay cumulative probablistic undiscounted]]/Table1[[#This Row],[lender discounter]]</f>
        <v>1.2459732043169401E-30</v>
      </c>
    </row>
    <row r="188" spans="1:45" s="3" customFormat="1">
      <c r="A188" s="3">
        <v>192</v>
      </c>
      <c r="B188" s="8">
        <v>3.2000000000000001E-2</v>
      </c>
      <c r="C188" s="3">
        <v>0</v>
      </c>
      <c r="D188" s="8">
        <v>3.2000000000000001E-2</v>
      </c>
      <c r="E188" s="12">
        <v>0.99999999989999999</v>
      </c>
      <c r="F188" s="13">
        <f>1-Table1[[#This Row],[one-year conditional mortality AT ISSUE]]</f>
        <v>1.000000082740371E-10</v>
      </c>
      <c r="G188" s="13">
        <f>PRODUCT(F$17:F188)</f>
        <v>0</v>
      </c>
      <c r="H188" s="13">
        <f>Table1[[#This Row],[one-year conditional survival AT ISSUE]]*(1-Table1[[#This Row],[Lapse rate]])</f>
        <v>9.6800008009267909E-11</v>
      </c>
      <c r="I188" s="13">
        <f>PRODUCT(H$17:H188)</f>
        <v>0</v>
      </c>
      <c r="J188" s="13">
        <f>G187*Table1[[#This Row],[one-year conditional mortality AT ISSUE]]</f>
        <v>0</v>
      </c>
      <c r="K188" s="10">
        <f>I187*Table1[[#This Row],[one-year conditional mortality AT ISSUE]]</f>
        <v>0</v>
      </c>
      <c r="L188" s="3">
        <f t="shared" si="8"/>
        <v>1.9910109748700498E-3</v>
      </c>
      <c r="M188" s="44">
        <v>1</v>
      </c>
      <c r="N188" s="44">
        <f>Table1[[#This Row],[one-year conditional mortality AT ISSUE]]/Table1[[#This Row],[one-year conditional persistency AT ISSUE]]</f>
        <v>10330577656.607809</v>
      </c>
      <c r="O188" s="4">
        <f>(1+$B$14)^(Table1[[#This Row],[age since issue]]-$A$17)</f>
        <v>358.75652987983761</v>
      </c>
      <c r="P188" s="5">
        <f>(Table1[[#This Row],[level premium unmarked-up]]*Table1[[#This Row],[unconditional persistency AT ISSUE]]-Table1[[#This Row],[Death benefit pay probability]])</f>
        <v>0</v>
      </c>
      <c r="Q188" s="4">
        <f>Table1[[#This Row],[Issuer profit with unmarked-up level premium]]/Table1[[#This Row],[Issuer discounter at issue]]</f>
        <v>0</v>
      </c>
      <c r="R188" s="4">
        <f>(Table1[[#This Row],[variable premium unmarked up]]*Table1[[#This Row],[unconditional persistency AT ISSUE]]-Table1[[#This Row],[Death benefit pay probability]])</f>
        <v>0</v>
      </c>
      <c r="S188" s="6">
        <f>Table1[[#This Row],[level premium unmarked-up]]*(1+$B$15)</f>
        <v>1.9910109748700498E-3</v>
      </c>
      <c r="T188" s="6">
        <f>MIN(Table1[[#This Row],[variable premium unmarked up]]*(1+$B$15),1)</f>
        <v>1</v>
      </c>
      <c r="U188" s="6">
        <f>Table1[[#This Row],[level premium marked up]]-Table1[[#This Row],[variable premium marked up]]</f>
        <v>-0.99800898902512991</v>
      </c>
      <c r="V188" s="6">
        <f>Table1[[#This Row],[additional cash]]+V187*(1+$D$2)</f>
        <v>-98.869403594173448</v>
      </c>
      <c r="W188" s="12">
        <v>0.5</v>
      </c>
      <c r="X188" s="13">
        <f>1-Table1[[#This Row],[one-year conditional mortality NOW]]</f>
        <v>0.5</v>
      </c>
      <c r="Y188" s="49">
        <f>PRODUCT(X$17:X188)</f>
        <v>4.0812995535507242E-29</v>
      </c>
      <c r="Z188" s="13">
        <f>Table1[[#This Row],[one-year conditional survival NOW]]*(1-Table1[[#This Row],[Lapse rate]])</f>
        <v>0.48399999999999999</v>
      </c>
      <c r="AA188" s="13">
        <f>PRODUCT(Z$17:Z188)</f>
        <v>1.5073549758861149E-31</v>
      </c>
      <c r="AB188" s="50">
        <f>Y187*Table1[[#This Row],[one-year conditional mortality NOW]]</f>
        <v>4.0812995535507242E-29</v>
      </c>
      <c r="AC188" s="14">
        <v>1.9699999999999999E-2</v>
      </c>
      <c r="AD188" s="28">
        <f>(1+Table1[[#This Row],[Yield curve now]])^(Table1[[#This Row],[age since issue]]-$A$23)</f>
        <v>25.000528234552888</v>
      </c>
      <c r="AE188" s="46">
        <f t="shared" si="7"/>
        <v>450.25333274080822</v>
      </c>
      <c r="AF188" s="42">
        <f>1-Table1[[#This Row],[cumulative debt until t]]</f>
        <v>-449.25333274080822</v>
      </c>
      <c r="AG188" s="46">
        <f>Table1[[#This Row],[cumulative debt until t]]*Table1[[#This Row],[Unconditional mortality NOW]]/Table1[[#This Row],[discouter with yield curve]]</f>
        <v>7.3503195958877316E-28</v>
      </c>
      <c r="AH188" s="48">
        <f>Table1[[#This Row],[Unconditional mortality NOW]]/Table1[[#This Row],[discouter with yield curve]]</f>
        <v>1.6324853280139961E-30</v>
      </c>
      <c r="AI188" s="29">
        <f>Table1[[#This Row],[user profit (death benefit - debt)]]*Table1[[#This Row],[Unconditional mortality NOW]]/Table1[[#This Row],[discouter with yield curve]]</f>
        <v>-7.3339947426075915E-28</v>
      </c>
      <c r="AJ188" s="29">
        <f>(1+$D$4)^(Table1[[#This Row],[age since issue]]-$A$23)</f>
        <v>10354846334.050365</v>
      </c>
      <c r="AK188" s="57">
        <f>Table1[[#This Row],[level premium marked up]]*Table1[[#This Row],[unconditional survival NOW]]</f>
        <v>8.1259122028517259E-32</v>
      </c>
      <c r="AL188" s="62">
        <f>Table1[[#This Row],[cumulative debt until t]]*Table1[[#This Row],[Unconditional mortality NOW]]</f>
        <v>1.8376187258997861E-26</v>
      </c>
      <c r="AM188" s="47">
        <f>Table1[[#This Row],[probablistic premium stream]]/Table1[[#This Row],[lender discounter]]</f>
        <v>7.8474483741307466E-42</v>
      </c>
      <c r="AN188" s="58">
        <f>Table1[[#This Row],[probablistic repay from borrower]]/Table1[[#This Row],[lender discounter]]</f>
        <v>1.7746460610014573E-36</v>
      </c>
      <c r="AO188" s="47">
        <f>(Table1[[#This Row],[probablistic repay from borrower]]-Table1[[#This Row],[probablistic premium stream]])/Table1[[#This Row],[lender discounter]]</f>
        <v>1.774638213553083E-36</v>
      </c>
      <c r="AP188" s="46">
        <f>AP187*(1+$D$4)+ Table1[[#This Row],[level premium marked up]]</f>
        <v>158060697.30882862</v>
      </c>
      <c r="AQ188" s="58">
        <f>AP188*Table1[[#This Row],[Unconditional mortality NOW]]</f>
        <v>6.4509305336043838E-21</v>
      </c>
      <c r="AR188" s="60">
        <f>Table1[[#This Row],[cumulative debt until t]]*Table1[[#This Row],[Unconditional mortality NOW]]</f>
        <v>1.8376187258997861E-26</v>
      </c>
      <c r="AS188" s="58">
        <f>Table1[[#This Row],[lender to pay cumulative probablistic undiscounted]]/Table1[[#This Row],[lender discounter]]</f>
        <v>6.2298660216631731E-31</v>
      </c>
    </row>
    <row r="189" spans="1:45" s="3" customFormat="1">
      <c r="A189" s="3">
        <v>193</v>
      </c>
      <c r="B189" s="8">
        <v>3.2000000000000001E-2</v>
      </c>
      <c r="C189" s="3">
        <v>0</v>
      </c>
      <c r="D189" s="8">
        <v>3.2000000000000001E-2</v>
      </c>
      <c r="E189" s="12">
        <v>0.99999999989999999</v>
      </c>
      <c r="F189" s="13">
        <f>1-Table1[[#This Row],[one-year conditional mortality AT ISSUE]]</f>
        <v>1.000000082740371E-10</v>
      </c>
      <c r="G189" s="13">
        <f>PRODUCT(F$17:F189)</f>
        <v>0</v>
      </c>
      <c r="H189" s="13">
        <f>Table1[[#This Row],[one-year conditional survival AT ISSUE]]*(1-Table1[[#This Row],[Lapse rate]])</f>
        <v>9.6800008009267909E-11</v>
      </c>
      <c r="I189" s="13">
        <f>PRODUCT(H$17:H189)</f>
        <v>0</v>
      </c>
      <c r="J189" s="13">
        <f>G188*Table1[[#This Row],[one-year conditional mortality AT ISSUE]]</f>
        <v>0</v>
      </c>
      <c r="K189" s="10">
        <f>I188*Table1[[#This Row],[one-year conditional mortality AT ISSUE]]</f>
        <v>0</v>
      </c>
      <c r="L189" s="3">
        <f t="shared" si="8"/>
        <v>1.9910109748700498E-3</v>
      </c>
      <c r="M189" s="44">
        <v>1</v>
      </c>
      <c r="N189" s="44">
        <f>Table1[[#This Row],[one-year conditional mortality AT ISSUE]]/Table1[[#This Row],[one-year conditional persistency AT ISSUE]]</f>
        <v>10330577656.607809</v>
      </c>
      <c r="O189" s="4">
        <f>(1+$B$14)^(Table1[[#This Row],[age since issue]]-$A$17)</f>
        <v>371.31300842563184</v>
      </c>
      <c r="P189" s="5">
        <f>(Table1[[#This Row],[level premium unmarked-up]]*Table1[[#This Row],[unconditional persistency AT ISSUE]]-Table1[[#This Row],[Death benefit pay probability]])</f>
        <v>0</v>
      </c>
      <c r="Q189" s="4">
        <f>Table1[[#This Row],[Issuer profit with unmarked-up level premium]]/Table1[[#This Row],[Issuer discounter at issue]]</f>
        <v>0</v>
      </c>
      <c r="R189" s="4">
        <f>(Table1[[#This Row],[variable premium unmarked up]]*Table1[[#This Row],[unconditional persistency AT ISSUE]]-Table1[[#This Row],[Death benefit pay probability]])</f>
        <v>0</v>
      </c>
      <c r="S189" s="6">
        <f>Table1[[#This Row],[level premium unmarked-up]]*(1+$B$15)</f>
        <v>1.9910109748700498E-3</v>
      </c>
      <c r="T189" s="6">
        <f>MIN(Table1[[#This Row],[variable premium unmarked up]]*(1+$B$15),1)</f>
        <v>1</v>
      </c>
      <c r="U189" s="6">
        <f>Table1[[#This Row],[level premium marked up]]-Table1[[#This Row],[variable premium marked up]]</f>
        <v>-0.99800898902512991</v>
      </c>
      <c r="V189" s="6">
        <f>Table1[[#This Row],[additional cash]]+V188*(1+$D$2)</f>
        <v>-99.966281986792737</v>
      </c>
      <c r="W189" s="12">
        <v>0.5</v>
      </c>
      <c r="X189" s="13">
        <f>1-Table1[[#This Row],[one-year conditional mortality NOW]]</f>
        <v>0.5</v>
      </c>
      <c r="Y189" s="49">
        <f>PRODUCT(X$17:X189)</f>
        <v>2.0406497767753621E-29</v>
      </c>
      <c r="Z189" s="13">
        <f>Table1[[#This Row],[one-year conditional survival NOW]]*(1-Table1[[#This Row],[Lapse rate]])</f>
        <v>0.48399999999999999</v>
      </c>
      <c r="AA189" s="13">
        <f>PRODUCT(Z$17:Z189)</f>
        <v>7.2955980832887963E-32</v>
      </c>
      <c r="AB189" s="50">
        <f>Y188*Table1[[#This Row],[one-year conditional mortality NOW]]</f>
        <v>2.0406497767753621E-29</v>
      </c>
      <c r="AC189" s="14">
        <v>1.9699999999999999E-2</v>
      </c>
      <c r="AD189" s="28">
        <f>(1+Table1[[#This Row],[Yield curve now]])^(Table1[[#This Row],[age since issue]]-$A$23)</f>
        <v>25.493038640773577</v>
      </c>
      <c r="AE189" s="46">
        <f t="shared" si="7"/>
        <v>476.76506574459654</v>
      </c>
      <c r="AF189" s="42">
        <f>1-Table1[[#This Row],[cumulative debt until t]]</f>
        <v>-475.76506574459654</v>
      </c>
      <c r="AG189" s="46">
        <f>Table1[[#This Row],[cumulative debt until t]]*Table1[[#This Row],[Unconditional mortality NOW]]/Table1[[#This Row],[discouter with yield curve]]</f>
        <v>3.8163772420206051E-28</v>
      </c>
      <c r="AH189" s="48">
        <f>Table1[[#This Row],[Unconditional mortality NOW]]/Table1[[#This Row],[discouter with yield curve]]</f>
        <v>8.0047333922427982E-31</v>
      </c>
      <c r="AI189" s="29">
        <f>Table1[[#This Row],[user profit (death benefit - debt)]]*Table1[[#This Row],[Unconditional mortality NOW]]/Table1[[#This Row],[discouter with yield curve]]</f>
        <v>-3.8083725086283621E-28</v>
      </c>
      <c r="AJ189" s="29">
        <f>(1+$D$4)^(Table1[[#This Row],[age since issue]]-$A$23)</f>
        <v>11908073284.157919</v>
      </c>
      <c r="AK189" s="57">
        <f>Table1[[#This Row],[level premium marked up]]*Table1[[#This Row],[unconditional survival NOW]]</f>
        <v>4.062956101425863E-32</v>
      </c>
      <c r="AL189" s="62">
        <f>Table1[[#This Row],[cumulative debt until t]]*Table1[[#This Row],[Unconditional mortality NOW]]</f>
        <v>9.7291052498600182E-27</v>
      </c>
      <c r="AM189" s="47">
        <f>Table1[[#This Row],[probablistic premium stream]]/Table1[[#This Row],[lender discounter]]</f>
        <v>3.4119340757090206E-42</v>
      </c>
      <c r="AN189" s="58">
        <f>Table1[[#This Row],[probablistic repay from borrower]]/Table1[[#This Row],[lender discounter]]</f>
        <v>8.170175827523061E-37</v>
      </c>
      <c r="AO189" s="47">
        <f>(Table1[[#This Row],[probablistic repay from borrower]]-Table1[[#This Row],[probablistic premium stream]])/Table1[[#This Row],[lender discounter]]</f>
        <v>8.1701417081823045E-37</v>
      </c>
      <c r="AP189" s="46">
        <f>AP188*(1+$D$4)+ Table1[[#This Row],[level premium marked up]]</f>
        <v>181769801.90714389</v>
      </c>
      <c r="AQ189" s="58">
        <f>AP189*Table1[[#This Row],[Unconditional mortality NOW]]</f>
        <v>3.7092850568631496E-21</v>
      </c>
      <c r="AR189" s="60">
        <f>Table1[[#This Row],[cumulative debt until t]]*Table1[[#This Row],[Unconditional mortality NOW]]</f>
        <v>9.7291052498600182E-27</v>
      </c>
      <c r="AS189" s="58">
        <f>Table1[[#This Row],[lender to pay cumulative probablistic undiscounted]]/Table1[[#This Row],[lender discounter]]</f>
        <v>3.1149330108657055E-31</v>
      </c>
    </row>
    <row r="190" spans="1:45" s="3" customFormat="1">
      <c r="A190" s="3">
        <v>194</v>
      </c>
      <c r="B190" s="8">
        <v>3.2000000000000001E-2</v>
      </c>
      <c r="C190" s="3">
        <v>0</v>
      </c>
      <c r="D190" s="8">
        <v>3.2000000000000001E-2</v>
      </c>
      <c r="E190" s="12">
        <v>0.99999999989999999</v>
      </c>
      <c r="F190" s="13">
        <f>1-Table1[[#This Row],[one-year conditional mortality AT ISSUE]]</f>
        <v>1.000000082740371E-10</v>
      </c>
      <c r="G190" s="13">
        <f>PRODUCT(F$17:F190)</f>
        <v>0</v>
      </c>
      <c r="H190" s="13">
        <f>Table1[[#This Row],[one-year conditional survival AT ISSUE]]*(1-Table1[[#This Row],[Lapse rate]])</f>
        <v>9.6800008009267909E-11</v>
      </c>
      <c r="I190" s="13">
        <f>PRODUCT(H$17:H190)</f>
        <v>0</v>
      </c>
      <c r="J190" s="13">
        <f>G189*Table1[[#This Row],[one-year conditional mortality AT ISSUE]]</f>
        <v>0</v>
      </c>
      <c r="K190" s="10">
        <f>I189*Table1[[#This Row],[one-year conditional mortality AT ISSUE]]</f>
        <v>0</v>
      </c>
      <c r="L190" s="3">
        <f t="shared" si="8"/>
        <v>1.9910109748700498E-3</v>
      </c>
      <c r="M190" s="44">
        <v>1</v>
      </c>
      <c r="N190" s="44">
        <f>Table1[[#This Row],[one-year conditional mortality AT ISSUE]]/Table1[[#This Row],[one-year conditional persistency AT ISSUE]]</f>
        <v>10330577656.607809</v>
      </c>
      <c r="O190" s="4">
        <f>(1+$B$14)^(Table1[[#This Row],[age since issue]]-$A$17)</f>
        <v>384.30896372052894</v>
      </c>
      <c r="P190" s="5">
        <f>(Table1[[#This Row],[level premium unmarked-up]]*Table1[[#This Row],[unconditional persistency AT ISSUE]]-Table1[[#This Row],[Death benefit pay probability]])</f>
        <v>0</v>
      </c>
      <c r="Q190" s="4">
        <f>Table1[[#This Row],[Issuer profit with unmarked-up level premium]]/Table1[[#This Row],[Issuer discounter at issue]]</f>
        <v>0</v>
      </c>
      <c r="R190" s="4">
        <f>(Table1[[#This Row],[variable premium unmarked up]]*Table1[[#This Row],[unconditional persistency AT ISSUE]]-Table1[[#This Row],[Death benefit pay probability]])</f>
        <v>0</v>
      </c>
      <c r="S190" s="6">
        <f>Table1[[#This Row],[level premium unmarked-up]]*(1+$B$15)</f>
        <v>1.9910109748700498E-3</v>
      </c>
      <c r="T190" s="6">
        <f>MIN(Table1[[#This Row],[variable premium unmarked up]]*(1+$B$15),1)</f>
        <v>1</v>
      </c>
      <c r="U190" s="6">
        <f>Table1[[#This Row],[level premium marked up]]-Table1[[#This Row],[variable premium marked up]]</f>
        <v>-0.99800898902512991</v>
      </c>
      <c r="V190" s="6">
        <f>Table1[[#This Row],[additional cash]]+V189*(1+$D$2)</f>
        <v>-101.06425725780464</v>
      </c>
      <c r="W190" s="12">
        <v>0.5</v>
      </c>
      <c r="X190" s="13">
        <f>1-Table1[[#This Row],[one-year conditional mortality NOW]]</f>
        <v>0.5</v>
      </c>
      <c r="Y190" s="49">
        <f>PRODUCT(X$17:X190)</f>
        <v>1.020324888387681E-29</v>
      </c>
      <c r="Z190" s="13">
        <f>Table1[[#This Row],[one-year conditional survival NOW]]*(1-Table1[[#This Row],[Lapse rate]])</f>
        <v>0.48399999999999999</v>
      </c>
      <c r="AA190" s="13">
        <f>PRODUCT(Z$17:Z190)</f>
        <v>3.5310694723117771E-32</v>
      </c>
      <c r="AB190" s="50">
        <f>Y189*Table1[[#This Row],[one-year conditional mortality NOW]]</f>
        <v>1.020324888387681E-29</v>
      </c>
      <c r="AC190" s="14">
        <v>1.9699999999999999E-2</v>
      </c>
      <c r="AD190" s="28">
        <f>(1+Table1[[#This Row],[Yield curve now]])^(Table1[[#This Row],[age since issue]]-$A$23)</f>
        <v>25.995251501996815</v>
      </c>
      <c r="AE190" s="46">
        <f t="shared" si="7"/>
        <v>504.83773354390598</v>
      </c>
      <c r="AF190" s="42">
        <f>1-Table1[[#This Row],[cumulative debt until t]]</f>
        <v>-503.83773354390598</v>
      </c>
      <c r="AG190" s="46">
        <f>Table1[[#This Row],[cumulative debt until t]]*Table1[[#This Row],[Unconditional mortality NOW]]/Table1[[#This Row],[discouter with yield curve]]</f>
        <v>1.9815099849774818E-28</v>
      </c>
      <c r="AH190" s="48">
        <f>Table1[[#This Row],[Unconditional mortality NOW]]/Table1[[#This Row],[discouter with yield curve]]</f>
        <v>3.9250433422785126E-31</v>
      </c>
      <c r="AI190" s="29">
        <f>Table1[[#This Row],[user profit (death benefit - debt)]]*Table1[[#This Row],[Unconditional mortality NOW]]/Table1[[#This Row],[discouter with yield curve]]</f>
        <v>-1.9775849416352034E-28</v>
      </c>
      <c r="AJ190" s="29">
        <f>(1+$D$4)^(Table1[[#This Row],[age since issue]]-$A$23)</f>
        <v>13694284276.781603</v>
      </c>
      <c r="AK190" s="57">
        <f>Table1[[#This Row],[level premium marked up]]*Table1[[#This Row],[unconditional survival NOW]]</f>
        <v>2.0314780507129315E-32</v>
      </c>
      <c r="AL190" s="62">
        <f>Table1[[#This Row],[cumulative debt until t]]*Table1[[#This Row],[Unconditional mortality NOW]]</f>
        <v>5.1509850413207574E-27</v>
      </c>
      <c r="AM190" s="47">
        <f>Table1[[#This Row],[probablistic premium stream]]/Table1[[#This Row],[lender discounter]]</f>
        <v>1.4834495981343572E-42</v>
      </c>
      <c r="AN190" s="58">
        <f>Table1[[#This Row],[probablistic repay from borrower]]/Table1[[#This Row],[lender discounter]]</f>
        <v>3.7614123799475625E-37</v>
      </c>
      <c r="AO190" s="47">
        <f>(Table1[[#This Row],[probablistic repay from borrower]]-Table1[[#This Row],[probablistic premium stream]])/Table1[[#This Row],[lender discounter]]</f>
        <v>3.761397545451581E-37</v>
      </c>
      <c r="AP190" s="46">
        <f>AP189*(1+$D$4)+ Table1[[#This Row],[level premium marked up]]</f>
        <v>209035272.19520646</v>
      </c>
      <c r="AQ190" s="58">
        <f>AP190*Table1[[#This Row],[Unconditional mortality NOW]]</f>
        <v>2.1328389077166257E-21</v>
      </c>
      <c r="AR190" s="60">
        <f>Table1[[#This Row],[cumulative debt until t]]*Table1[[#This Row],[Unconditional mortality NOW]]</f>
        <v>5.1509850413207574E-27</v>
      </c>
      <c r="AS190" s="58">
        <f>Table1[[#This Row],[lender to pay cumulative probablistic undiscounted]]/Table1[[#This Row],[lender discounter]]</f>
        <v>1.5574665054476877E-31</v>
      </c>
    </row>
    <row r="191" spans="1:45" s="3" customFormat="1">
      <c r="A191" s="3">
        <v>195</v>
      </c>
      <c r="B191" s="8">
        <v>3.2000000000000001E-2</v>
      </c>
      <c r="C191" s="3">
        <v>0</v>
      </c>
      <c r="D191" s="8">
        <v>3.2000000000000001E-2</v>
      </c>
      <c r="E191" s="12">
        <v>0.99999999989999999</v>
      </c>
      <c r="F191" s="13">
        <f>1-Table1[[#This Row],[one-year conditional mortality AT ISSUE]]</f>
        <v>1.000000082740371E-10</v>
      </c>
      <c r="G191" s="13">
        <f>PRODUCT(F$17:F191)</f>
        <v>0</v>
      </c>
      <c r="H191" s="13">
        <f>Table1[[#This Row],[one-year conditional survival AT ISSUE]]*(1-Table1[[#This Row],[Lapse rate]])</f>
        <v>9.6800008009267909E-11</v>
      </c>
      <c r="I191" s="13">
        <f>PRODUCT(H$17:H191)</f>
        <v>0</v>
      </c>
      <c r="J191" s="13">
        <f>G190*Table1[[#This Row],[one-year conditional mortality AT ISSUE]]</f>
        <v>0</v>
      </c>
      <c r="K191" s="10">
        <f>I190*Table1[[#This Row],[one-year conditional mortality AT ISSUE]]</f>
        <v>0</v>
      </c>
      <c r="L191" s="3">
        <f t="shared" si="8"/>
        <v>1.9910109748700498E-3</v>
      </c>
      <c r="M191" s="44">
        <v>1</v>
      </c>
      <c r="N191" s="44">
        <f>Table1[[#This Row],[one-year conditional mortality AT ISSUE]]/Table1[[#This Row],[one-year conditional persistency AT ISSUE]]</f>
        <v>10330577656.607809</v>
      </c>
      <c r="O191" s="4">
        <f>(1+$B$14)^(Table1[[#This Row],[age since issue]]-$A$17)</f>
        <v>397.75977745074749</v>
      </c>
      <c r="P191" s="5">
        <f>(Table1[[#This Row],[level premium unmarked-up]]*Table1[[#This Row],[unconditional persistency AT ISSUE]]-Table1[[#This Row],[Death benefit pay probability]])</f>
        <v>0</v>
      </c>
      <c r="Q191" s="4">
        <f>Table1[[#This Row],[Issuer profit with unmarked-up level premium]]/Table1[[#This Row],[Issuer discounter at issue]]</f>
        <v>0</v>
      </c>
      <c r="R191" s="4">
        <f>(Table1[[#This Row],[variable premium unmarked up]]*Table1[[#This Row],[unconditional persistency AT ISSUE]]-Table1[[#This Row],[Death benefit pay probability]])</f>
        <v>0</v>
      </c>
      <c r="S191" s="6">
        <f>Table1[[#This Row],[level premium unmarked-up]]*(1+$B$15)</f>
        <v>1.9910109748700498E-3</v>
      </c>
      <c r="T191" s="6">
        <f>MIN(Table1[[#This Row],[variable premium unmarked up]]*(1+$B$15),1)</f>
        <v>1</v>
      </c>
      <c r="U191" s="6">
        <f>Table1[[#This Row],[level premium marked up]]-Table1[[#This Row],[variable premium marked up]]</f>
        <v>-0.99800898902512991</v>
      </c>
      <c r="V191" s="6">
        <f>Table1[[#This Row],[additional cash]]+V190*(1+$D$2)</f>
        <v>-102.16333050408755</v>
      </c>
      <c r="W191" s="12">
        <v>0.5</v>
      </c>
      <c r="X191" s="13">
        <f>1-Table1[[#This Row],[one-year conditional mortality NOW]]</f>
        <v>0.5</v>
      </c>
      <c r="Y191" s="49">
        <f>PRODUCT(X$17:X191)</f>
        <v>5.1016244419384052E-30</v>
      </c>
      <c r="Z191" s="13">
        <f>Table1[[#This Row],[one-year conditional survival NOW]]*(1-Table1[[#This Row],[Lapse rate]])</f>
        <v>0.48399999999999999</v>
      </c>
      <c r="AA191" s="13">
        <f>PRODUCT(Z$17:Z191)</f>
        <v>1.7090376245989002E-32</v>
      </c>
      <c r="AB191" s="50">
        <f>Y190*Table1[[#This Row],[one-year conditional mortality NOW]]</f>
        <v>5.1016244419384052E-30</v>
      </c>
      <c r="AC191" s="14">
        <v>1.9699999999999999E-2</v>
      </c>
      <c r="AD191" s="28">
        <f>(1+Table1[[#This Row],[Yield curve now]])^(Table1[[#This Row],[age since issue]]-$A$23)</f>
        <v>26.507357956586155</v>
      </c>
      <c r="AE191" s="46">
        <f t="shared" si="7"/>
        <v>534.56323950225942</v>
      </c>
      <c r="AF191" s="42">
        <f>1-Table1[[#This Row],[cumulative debt until t]]</f>
        <v>-533.56323950225942</v>
      </c>
      <c r="AG191" s="46">
        <f>Table1[[#This Row],[cumulative debt until t]]*Table1[[#This Row],[Unconditional mortality NOW]]/Table1[[#This Row],[discouter with yield curve]]</f>
        <v>1.0288241072056375E-28</v>
      </c>
      <c r="AH191" s="48">
        <f>Table1[[#This Row],[Unconditional mortality NOW]]/Table1[[#This Row],[discouter with yield curve]]</f>
        <v>1.9246069149154223E-31</v>
      </c>
      <c r="AI191" s="29">
        <f>Table1[[#This Row],[user profit (death benefit - debt)]]*Table1[[#This Row],[Unconditional mortality NOW]]/Table1[[#This Row],[discouter with yield curve]]</f>
        <v>-1.026899500290722E-28</v>
      </c>
      <c r="AJ191" s="29">
        <f>(1+$D$4)^(Table1[[#This Row],[age since issue]]-$A$23)</f>
        <v>15748426918.298843</v>
      </c>
      <c r="AK191" s="57">
        <f>Table1[[#This Row],[level premium marked up]]*Table1[[#This Row],[unconditional survival NOW]]</f>
        <v>1.0157390253564657E-32</v>
      </c>
      <c r="AL191" s="62">
        <f>Table1[[#This Row],[cumulative debt until t]]*Table1[[#This Row],[Unconditional mortality NOW]]</f>
        <v>2.7271408884065003E-27</v>
      </c>
      <c r="AM191" s="47">
        <f>Table1[[#This Row],[probablistic premium stream]]/Table1[[#This Row],[lender discounter]]</f>
        <v>6.4497808614537269E-43</v>
      </c>
      <c r="AN191" s="58">
        <f>Table1[[#This Row],[probablistic repay from borrower]]/Table1[[#This Row],[lender discounter]]</f>
        <v>1.7316909825689993E-37</v>
      </c>
      <c r="AO191" s="47">
        <f>(Table1[[#This Row],[probablistic repay from borrower]]-Table1[[#This Row],[probablistic premium stream]])/Table1[[#This Row],[lender discounter]]</f>
        <v>1.731684532788138E-37</v>
      </c>
      <c r="AP191" s="46">
        <f>AP190*(1+$D$4)+ Table1[[#This Row],[level premium marked up]]</f>
        <v>240390563.02647841</v>
      </c>
      <c r="AQ191" s="58">
        <f>AP191*Table1[[#This Row],[Unconditional mortality NOW]]</f>
        <v>1.226382371947217E-21</v>
      </c>
      <c r="AR191" s="60">
        <f>Table1[[#This Row],[cumulative debt until t]]*Table1[[#This Row],[Unconditional mortality NOW]]</f>
        <v>2.7271408884065003E-27</v>
      </c>
      <c r="AS191" s="58">
        <f>Table1[[#This Row],[lender to pay cumulative probablistic undiscounted]]/Table1[[#This Row],[lender discounter]]</f>
        <v>7.7873325273029343E-32</v>
      </c>
    </row>
    <row r="192" spans="1:45" s="3" customFormat="1">
      <c r="A192" s="3">
        <v>196</v>
      </c>
      <c r="B192" s="8">
        <v>3.2000000000000001E-2</v>
      </c>
      <c r="C192" s="3">
        <v>0</v>
      </c>
      <c r="D192" s="8">
        <v>3.2000000000000001E-2</v>
      </c>
      <c r="E192" s="12">
        <v>0.99999999989999999</v>
      </c>
      <c r="F192" s="13">
        <f>1-Table1[[#This Row],[one-year conditional mortality AT ISSUE]]</f>
        <v>1.000000082740371E-10</v>
      </c>
      <c r="G192" s="13">
        <f>PRODUCT(F$17:F192)</f>
        <v>0</v>
      </c>
      <c r="H192" s="13">
        <f>Table1[[#This Row],[one-year conditional survival AT ISSUE]]*(1-Table1[[#This Row],[Lapse rate]])</f>
        <v>9.6800008009267909E-11</v>
      </c>
      <c r="I192" s="13">
        <f>PRODUCT(H$17:H192)</f>
        <v>0</v>
      </c>
      <c r="J192" s="13">
        <f>G191*Table1[[#This Row],[one-year conditional mortality AT ISSUE]]</f>
        <v>0</v>
      </c>
      <c r="K192" s="10">
        <f>I191*Table1[[#This Row],[one-year conditional mortality AT ISSUE]]</f>
        <v>0</v>
      </c>
      <c r="L192" s="3">
        <f t="shared" si="8"/>
        <v>1.9910109748700498E-3</v>
      </c>
      <c r="M192" s="44">
        <v>1</v>
      </c>
      <c r="N192" s="44">
        <f>Table1[[#This Row],[one-year conditional mortality AT ISSUE]]/Table1[[#This Row],[one-year conditional persistency AT ISSUE]]</f>
        <v>10330577656.607809</v>
      </c>
      <c r="O192" s="4">
        <f>(1+$B$14)^(Table1[[#This Row],[age since issue]]-$A$17)</f>
        <v>411.68136966152355</v>
      </c>
      <c r="P192" s="5">
        <f>(Table1[[#This Row],[level premium unmarked-up]]*Table1[[#This Row],[unconditional persistency AT ISSUE]]-Table1[[#This Row],[Death benefit pay probability]])</f>
        <v>0</v>
      </c>
      <c r="Q192" s="4">
        <f>Table1[[#This Row],[Issuer profit with unmarked-up level premium]]/Table1[[#This Row],[Issuer discounter at issue]]</f>
        <v>0</v>
      </c>
      <c r="R192" s="4">
        <f>(Table1[[#This Row],[variable premium unmarked up]]*Table1[[#This Row],[unconditional persistency AT ISSUE]]-Table1[[#This Row],[Death benefit pay probability]])</f>
        <v>0</v>
      </c>
      <c r="S192" s="6">
        <f>Table1[[#This Row],[level premium unmarked-up]]*(1+$B$15)</f>
        <v>1.9910109748700498E-3</v>
      </c>
      <c r="T192" s="6">
        <f>MIN(Table1[[#This Row],[variable premium unmarked up]]*(1+$B$15),1)</f>
        <v>1</v>
      </c>
      <c r="U192" s="6">
        <f>Table1[[#This Row],[level premium marked up]]-Table1[[#This Row],[variable premium marked up]]</f>
        <v>-0.99800898902512991</v>
      </c>
      <c r="V192" s="6">
        <f>Table1[[#This Row],[additional cash]]+V191*(1+$D$2)</f>
        <v>-103.26350282361675</v>
      </c>
      <c r="W192" s="12">
        <v>0.5</v>
      </c>
      <c r="X192" s="13">
        <f>1-Table1[[#This Row],[one-year conditional mortality NOW]]</f>
        <v>0.5</v>
      </c>
      <c r="Y192" s="49">
        <f>PRODUCT(X$17:X192)</f>
        <v>2.5508122209692026E-30</v>
      </c>
      <c r="Z192" s="13">
        <f>Table1[[#This Row],[one-year conditional survival NOW]]*(1-Table1[[#This Row],[Lapse rate]])</f>
        <v>0.48399999999999999</v>
      </c>
      <c r="AA192" s="13">
        <f>PRODUCT(Z$17:Z192)</f>
        <v>8.2717421030586765E-33</v>
      </c>
      <c r="AB192" s="50">
        <f>Y191*Table1[[#This Row],[one-year conditional mortality NOW]]</f>
        <v>2.5508122209692026E-30</v>
      </c>
      <c r="AC192" s="14">
        <v>1.9699999999999999E-2</v>
      </c>
      <c r="AD192" s="28">
        <f>(1+Table1[[#This Row],[Yield curve now]])^(Table1[[#This Row],[age since issue]]-$A$23)</f>
        <v>27.029552908330903</v>
      </c>
      <c r="AE192" s="46">
        <f t="shared" si="7"/>
        <v>566.038897989617</v>
      </c>
      <c r="AF192" s="42">
        <f>1-Table1[[#This Row],[cumulative debt until t]]</f>
        <v>-565.038897989617</v>
      </c>
      <c r="AG192" s="46">
        <f>Table1[[#This Row],[cumulative debt until t]]*Table1[[#This Row],[Unconditional mortality NOW]]/Table1[[#This Row],[discouter with yield curve]]</f>
        <v>5.3417788427082578E-29</v>
      </c>
      <c r="AH192" s="48">
        <f>Table1[[#This Row],[Unconditional mortality NOW]]/Table1[[#This Row],[discouter with yield curve]]</f>
        <v>9.4371232466187222E-32</v>
      </c>
      <c r="AI192" s="29">
        <f>Table1[[#This Row],[user profit (death benefit - debt)]]*Table1[[#This Row],[Unconditional mortality NOW]]/Table1[[#This Row],[discouter with yield curve]]</f>
        <v>-5.3323417194616402E-29</v>
      </c>
      <c r="AJ192" s="29">
        <f>(1+$D$4)^(Table1[[#This Row],[age since issue]]-$A$23)</f>
        <v>18110690956.043667</v>
      </c>
      <c r="AK192" s="57">
        <f>Table1[[#This Row],[level premium marked up]]*Table1[[#This Row],[unconditional survival NOW]]</f>
        <v>5.0786951267823287E-33</v>
      </c>
      <c r="AL192" s="62">
        <f>Table1[[#This Row],[cumulative debt until t]]*Table1[[#This Row],[Unconditional mortality NOW]]</f>
        <v>1.4438589385358549E-27</v>
      </c>
      <c r="AM192" s="47">
        <f>Table1[[#This Row],[probablistic premium stream]]/Table1[[#This Row],[lender discounter]]</f>
        <v>2.8042525484581428E-43</v>
      </c>
      <c r="AN192" s="58">
        <f>Table1[[#This Row],[probablistic repay from borrower]]/Table1[[#This Row],[lender discounter]]</f>
        <v>7.9724122179558747E-38</v>
      </c>
      <c r="AO192" s="47">
        <f>(Table1[[#This Row],[probablistic repay from borrower]]-Table1[[#This Row],[probablistic premium stream]])/Table1[[#This Row],[lender discounter]]</f>
        <v>7.9723841754303894E-38</v>
      </c>
      <c r="AP192" s="46">
        <f>AP191*(1+$D$4)+ Table1[[#This Row],[level premium marked up]]</f>
        <v>276449147.48244119</v>
      </c>
      <c r="AQ192" s="58">
        <f>AP192*Table1[[#This Row],[Unconditional mortality NOW]]</f>
        <v>7.0516986387472845E-22</v>
      </c>
      <c r="AR192" s="60">
        <f>Table1[[#This Row],[cumulative debt until t]]*Table1[[#This Row],[Unconditional mortality NOW]]</f>
        <v>1.4438589385358549E-27</v>
      </c>
      <c r="AS192" s="58">
        <f>Table1[[#This Row],[lender to pay cumulative probablistic undiscounted]]/Table1[[#This Row],[lender discounter]]</f>
        <v>3.8936662636795107E-32</v>
      </c>
    </row>
    <row r="193" spans="1:45" s="3" customFormat="1">
      <c r="A193" s="3">
        <v>197</v>
      </c>
      <c r="B193" s="8">
        <v>3.2000000000000001E-2</v>
      </c>
      <c r="C193" s="3">
        <v>0</v>
      </c>
      <c r="D193" s="8">
        <v>3.2000000000000001E-2</v>
      </c>
      <c r="E193" s="12">
        <v>0.99999999989999999</v>
      </c>
      <c r="F193" s="13">
        <f>1-Table1[[#This Row],[one-year conditional mortality AT ISSUE]]</f>
        <v>1.000000082740371E-10</v>
      </c>
      <c r="G193" s="13">
        <f>PRODUCT(F$17:F193)</f>
        <v>0</v>
      </c>
      <c r="H193" s="13">
        <f>Table1[[#This Row],[one-year conditional survival AT ISSUE]]*(1-Table1[[#This Row],[Lapse rate]])</f>
        <v>9.6800008009267909E-11</v>
      </c>
      <c r="I193" s="13">
        <f>PRODUCT(H$17:H193)</f>
        <v>0</v>
      </c>
      <c r="J193" s="13">
        <f>G192*Table1[[#This Row],[one-year conditional mortality AT ISSUE]]</f>
        <v>0</v>
      </c>
      <c r="K193" s="10">
        <f>I192*Table1[[#This Row],[one-year conditional mortality AT ISSUE]]</f>
        <v>0</v>
      </c>
      <c r="L193" s="3">
        <f t="shared" si="8"/>
        <v>1.9910109748700498E-3</v>
      </c>
      <c r="M193" s="44">
        <v>1</v>
      </c>
      <c r="N193" s="44">
        <f>Table1[[#This Row],[one-year conditional mortality AT ISSUE]]/Table1[[#This Row],[one-year conditional persistency AT ISSUE]]</f>
        <v>10330577656.607809</v>
      </c>
      <c r="O193" s="4">
        <f>(1+$B$14)^(Table1[[#This Row],[age since issue]]-$A$17)</f>
        <v>426.09021759967681</v>
      </c>
      <c r="P193" s="5">
        <f>(Table1[[#This Row],[level premium unmarked-up]]*Table1[[#This Row],[unconditional persistency AT ISSUE]]-Table1[[#This Row],[Death benefit pay probability]])</f>
        <v>0</v>
      </c>
      <c r="Q193" s="4">
        <f>Table1[[#This Row],[Issuer profit with unmarked-up level premium]]/Table1[[#This Row],[Issuer discounter at issue]]</f>
        <v>0</v>
      </c>
      <c r="R193" s="4">
        <f>(Table1[[#This Row],[variable premium unmarked up]]*Table1[[#This Row],[unconditional persistency AT ISSUE]]-Table1[[#This Row],[Death benefit pay probability]])</f>
        <v>0</v>
      </c>
      <c r="S193" s="6">
        <f>Table1[[#This Row],[level premium unmarked-up]]*(1+$B$15)</f>
        <v>1.9910109748700498E-3</v>
      </c>
      <c r="T193" s="6">
        <f>MIN(Table1[[#This Row],[variable premium unmarked up]]*(1+$B$15),1)</f>
        <v>1</v>
      </c>
      <c r="U193" s="6">
        <f>Table1[[#This Row],[level premium marked up]]-Table1[[#This Row],[variable premium marked up]]</f>
        <v>-0.99800898902512991</v>
      </c>
      <c r="V193" s="6">
        <f>Table1[[#This Row],[additional cash]]+V192*(1+$D$2)</f>
        <v>-104.36477531546548</v>
      </c>
      <c r="W193" s="12">
        <v>0.5</v>
      </c>
      <c r="X193" s="13">
        <f>1-Table1[[#This Row],[one-year conditional mortality NOW]]</f>
        <v>0.5</v>
      </c>
      <c r="Y193" s="49">
        <f>PRODUCT(X$17:X193)</f>
        <v>1.2754061104846013E-30</v>
      </c>
      <c r="Z193" s="13">
        <f>Table1[[#This Row],[one-year conditional survival NOW]]*(1-Table1[[#This Row],[Lapse rate]])</f>
        <v>0.48399999999999999</v>
      </c>
      <c r="AA193" s="13">
        <f>PRODUCT(Z$17:Z193)</f>
        <v>4.0035231778803991E-33</v>
      </c>
      <c r="AB193" s="50">
        <f>Y192*Table1[[#This Row],[one-year conditional mortality NOW]]</f>
        <v>1.2754061104846013E-30</v>
      </c>
      <c r="AC193" s="14">
        <v>1.9699999999999999E-2</v>
      </c>
      <c r="AD193" s="28">
        <f>(1+Table1[[#This Row],[Yield curve now]])^(Table1[[#This Row],[age since issue]]-$A$23)</f>
        <v>27.562035100625021</v>
      </c>
      <c r="AE193" s="46">
        <f t="shared" si="7"/>
        <v>599.36775296691496</v>
      </c>
      <c r="AF193" s="42">
        <f>1-Table1[[#This Row],[cumulative debt until t]]</f>
        <v>-598.36775296691496</v>
      </c>
      <c r="AG193" s="46">
        <f>Table1[[#This Row],[cumulative debt until t]]*Table1[[#This Row],[Unconditional mortality NOW]]/Table1[[#This Row],[discouter with yield curve]]</f>
        <v>2.7735154235548209E-29</v>
      </c>
      <c r="AH193" s="48">
        <f>Table1[[#This Row],[Unconditional mortality NOW]]/Table1[[#This Row],[discouter with yield curve]]</f>
        <v>4.6274018076977161E-32</v>
      </c>
      <c r="AI193" s="29">
        <f>Table1[[#This Row],[user profit (death benefit - debt)]]*Table1[[#This Row],[Unconditional mortality NOW]]/Table1[[#This Row],[discouter with yield curve]]</f>
        <v>-2.7688880217471232E-29</v>
      </c>
      <c r="AJ193" s="29">
        <f>(1+$D$4)^(Table1[[#This Row],[age since issue]]-$A$23)</f>
        <v>20827294599.450214</v>
      </c>
      <c r="AK193" s="57">
        <f>Table1[[#This Row],[level premium marked up]]*Table1[[#This Row],[unconditional survival NOW]]</f>
        <v>2.5393475633911644E-33</v>
      </c>
      <c r="AL193" s="62">
        <f>Table1[[#This Row],[cumulative debt until t]]*Table1[[#This Row],[Unconditional mortality NOW]]</f>
        <v>7.644372945614284E-28</v>
      </c>
      <c r="AM193" s="47">
        <f>Table1[[#This Row],[probablistic premium stream]]/Table1[[#This Row],[lender discounter]]</f>
        <v>1.2192402384600621E-43</v>
      </c>
      <c r="AN193" s="58">
        <f>Table1[[#This Row],[probablistic repay from borrower]]/Table1[[#This Row],[lender discounter]]</f>
        <v>3.6703629024463291E-38</v>
      </c>
      <c r="AO193" s="47">
        <f>(Table1[[#This Row],[probablistic repay from borrower]]-Table1[[#This Row],[probablistic premium stream]])/Table1[[#This Row],[lender discounter]]</f>
        <v>3.6703507100439443E-38</v>
      </c>
      <c r="AP193" s="46">
        <f>AP192*(1+$D$4)+ Table1[[#This Row],[level premium marked up]]</f>
        <v>317916519.60679835</v>
      </c>
      <c r="AQ193" s="58">
        <f>AP193*Table1[[#This Row],[Unconditional mortality NOW]]</f>
        <v>4.0547267173050818E-22</v>
      </c>
      <c r="AR193" s="60">
        <f>Table1[[#This Row],[cumulative debt until t]]*Table1[[#This Row],[Unconditional mortality NOW]]</f>
        <v>7.644372945614284E-28</v>
      </c>
      <c r="AS193" s="58">
        <f>Table1[[#This Row],[lender to pay cumulative probablistic undiscounted]]/Table1[[#This Row],[lender discounter]]</f>
        <v>1.9468331318519477E-32</v>
      </c>
    </row>
    <row r="194" spans="1:45" s="3" customFormat="1">
      <c r="A194" s="3">
        <v>198</v>
      </c>
      <c r="B194" s="8">
        <v>3.2000000000000001E-2</v>
      </c>
      <c r="C194" s="3">
        <v>0</v>
      </c>
      <c r="D194" s="8">
        <v>3.2000000000000001E-2</v>
      </c>
      <c r="E194" s="12">
        <v>0.99999999989999999</v>
      </c>
      <c r="F194" s="13">
        <f>1-Table1[[#This Row],[one-year conditional mortality AT ISSUE]]</f>
        <v>1.000000082740371E-10</v>
      </c>
      <c r="G194" s="13">
        <f>PRODUCT(F$17:F194)</f>
        <v>0</v>
      </c>
      <c r="H194" s="13">
        <f>Table1[[#This Row],[one-year conditional survival AT ISSUE]]*(1-Table1[[#This Row],[Lapse rate]])</f>
        <v>9.6800008009267909E-11</v>
      </c>
      <c r="I194" s="13">
        <f>PRODUCT(H$17:H194)</f>
        <v>0</v>
      </c>
      <c r="J194" s="13">
        <f>G193*Table1[[#This Row],[one-year conditional mortality AT ISSUE]]</f>
        <v>0</v>
      </c>
      <c r="K194" s="10">
        <f>I193*Table1[[#This Row],[one-year conditional mortality AT ISSUE]]</f>
        <v>0</v>
      </c>
      <c r="L194" s="3">
        <f t="shared" si="8"/>
        <v>1.9910109748700498E-3</v>
      </c>
      <c r="M194" s="44">
        <v>1</v>
      </c>
      <c r="N194" s="44">
        <f>Table1[[#This Row],[one-year conditional mortality AT ISSUE]]/Table1[[#This Row],[one-year conditional persistency AT ISSUE]]</f>
        <v>10330577656.607809</v>
      </c>
      <c r="O194" s="4">
        <f>(1+$B$14)^(Table1[[#This Row],[age since issue]]-$A$17)</f>
        <v>441.00337521566541</v>
      </c>
      <c r="P194" s="5">
        <f>(Table1[[#This Row],[level premium unmarked-up]]*Table1[[#This Row],[unconditional persistency AT ISSUE]]-Table1[[#This Row],[Death benefit pay probability]])</f>
        <v>0</v>
      </c>
      <c r="Q194" s="4">
        <f>Table1[[#This Row],[Issuer profit with unmarked-up level premium]]/Table1[[#This Row],[Issuer discounter at issue]]</f>
        <v>0</v>
      </c>
      <c r="R194" s="4">
        <f>(Table1[[#This Row],[variable premium unmarked up]]*Table1[[#This Row],[unconditional persistency AT ISSUE]]-Table1[[#This Row],[Death benefit pay probability]])</f>
        <v>0</v>
      </c>
      <c r="S194" s="6">
        <f>Table1[[#This Row],[level premium unmarked-up]]*(1+$B$15)</f>
        <v>1.9910109748700498E-3</v>
      </c>
      <c r="T194" s="6">
        <f>MIN(Table1[[#This Row],[variable premium unmarked up]]*(1+$B$15),1)</f>
        <v>1</v>
      </c>
      <c r="U194" s="6">
        <f>Table1[[#This Row],[level premium marked up]]-Table1[[#This Row],[variable premium marked up]]</f>
        <v>-0.99800898902512991</v>
      </c>
      <c r="V194" s="6">
        <f>Table1[[#This Row],[additional cash]]+V193*(1+$D$2)</f>
        <v>-105.46714907980606</v>
      </c>
      <c r="W194" s="12">
        <v>0.5</v>
      </c>
      <c r="X194" s="13">
        <f>1-Table1[[#This Row],[one-year conditional mortality NOW]]</f>
        <v>0.5</v>
      </c>
      <c r="Y194" s="49">
        <f>PRODUCT(X$17:X194)</f>
        <v>6.3770305524230065E-31</v>
      </c>
      <c r="Z194" s="13">
        <f>Table1[[#This Row],[one-year conditional survival NOW]]*(1-Table1[[#This Row],[Lapse rate]])</f>
        <v>0.48399999999999999</v>
      </c>
      <c r="AA194" s="13">
        <f>PRODUCT(Z$17:Z194)</f>
        <v>1.937705218094113E-33</v>
      </c>
      <c r="AB194" s="50">
        <f>Y193*Table1[[#This Row],[one-year conditional mortality NOW]]</f>
        <v>6.3770305524230065E-31</v>
      </c>
      <c r="AC194" s="14">
        <v>1.9699999999999999E-2</v>
      </c>
      <c r="AD194" s="28">
        <f>(1+Table1[[#This Row],[Yield curve now]])^(Table1[[#This Row],[age since issue]]-$A$23)</f>
        <v>28.105007192107333</v>
      </c>
      <c r="AE194" s="46">
        <f t="shared" si="7"/>
        <v>634.65891532794785</v>
      </c>
      <c r="AF194" s="42">
        <f>1-Table1[[#This Row],[cumulative debt until t]]</f>
        <v>-633.65891532794785</v>
      </c>
      <c r="AG194" s="46">
        <f>Table1[[#This Row],[cumulative debt until t]]*Table1[[#This Row],[Unconditional mortality NOW]]/Table1[[#This Row],[discouter with yield curve]]</f>
        <v>1.4400420771109236E-29</v>
      </c>
      <c r="AH194" s="48">
        <f>Table1[[#This Row],[Unconditional mortality NOW]]/Table1[[#This Row],[discouter with yield curve]]</f>
        <v>2.2690015728634482E-32</v>
      </c>
      <c r="AI194" s="29">
        <f>Table1[[#This Row],[user profit (death benefit - debt)]]*Table1[[#This Row],[Unconditional mortality NOW]]/Table1[[#This Row],[discouter with yield curve]]</f>
        <v>-1.4377730755380603E-29</v>
      </c>
      <c r="AJ194" s="29">
        <f>(1+$D$4)^(Table1[[#This Row],[age since issue]]-$A$23)</f>
        <v>23951388789.367748</v>
      </c>
      <c r="AK194" s="57">
        <f>Table1[[#This Row],[level premium marked up]]*Table1[[#This Row],[unconditional survival NOW]]</f>
        <v>1.2696737816955822E-33</v>
      </c>
      <c r="AL194" s="62">
        <f>Table1[[#This Row],[cumulative debt until t]]*Table1[[#This Row],[Unconditional mortality NOW]]</f>
        <v>4.047239293413969E-28</v>
      </c>
      <c r="AM194" s="47">
        <f>Table1[[#This Row],[probablistic premium stream]]/Table1[[#This Row],[lender discounter]]</f>
        <v>5.301044515043748E-44</v>
      </c>
      <c r="AN194" s="58">
        <f>Table1[[#This Row],[probablistic repay from borrower]]/Table1[[#This Row],[lender discounter]]</f>
        <v>1.6897722837727795E-38</v>
      </c>
      <c r="AO194" s="47">
        <f>(Table1[[#This Row],[probablistic repay from borrower]]-Table1[[#This Row],[probablistic premium stream]])/Table1[[#This Row],[lender discounter]]</f>
        <v>1.6897669827282648E-38</v>
      </c>
      <c r="AP194" s="46">
        <f>AP193*(1+$D$4)+ Table1[[#This Row],[level premium marked up]]</f>
        <v>365603997.5498091</v>
      </c>
      <c r="AQ194" s="58">
        <f>AP194*Table1[[#This Row],[Unconditional mortality NOW]]</f>
        <v>2.3314678624631187E-22</v>
      </c>
      <c r="AR194" s="60">
        <f>Table1[[#This Row],[cumulative debt until t]]*Table1[[#This Row],[Unconditional mortality NOW]]</f>
        <v>4.047239293413969E-28</v>
      </c>
      <c r="AS194" s="58">
        <f>Table1[[#This Row],[lender to pay cumulative probablistic undiscounted]]/Table1[[#This Row],[lender discounter]]</f>
        <v>9.7341656593127485E-33</v>
      </c>
    </row>
    <row r="195" spans="1:45" s="3" customFormat="1">
      <c r="A195" s="3">
        <v>199</v>
      </c>
      <c r="B195" s="8">
        <v>3.2000000000000001E-2</v>
      </c>
      <c r="C195" s="3">
        <v>0</v>
      </c>
      <c r="D195" s="8">
        <v>3.2000000000000001E-2</v>
      </c>
      <c r="E195" s="12">
        <v>0.99999999989999999</v>
      </c>
      <c r="F195" s="13">
        <f>1-Table1[[#This Row],[one-year conditional mortality AT ISSUE]]</f>
        <v>1.000000082740371E-10</v>
      </c>
      <c r="G195" s="13">
        <f>PRODUCT(F$17:F195)</f>
        <v>0</v>
      </c>
      <c r="H195" s="13">
        <f>Table1[[#This Row],[one-year conditional survival AT ISSUE]]*(1-Table1[[#This Row],[Lapse rate]])</f>
        <v>9.6800008009267909E-11</v>
      </c>
      <c r="I195" s="13">
        <f>PRODUCT(H$17:H195)</f>
        <v>0</v>
      </c>
      <c r="J195" s="13">
        <f>G194*Table1[[#This Row],[one-year conditional mortality AT ISSUE]]</f>
        <v>0</v>
      </c>
      <c r="K195" s="10">
        <f>I194*Table1[[#This Row],[one-year conditional mortality AT ISSUE]]</f>
        <v>0</v>
      </c>
      <c r="L195" s="3">
        <f t="shared" si="8"/>
        <v>1.9910109748700498E-3</v>
      </c>
      <c r="M195" s="44">
        <v>1</v>
      </c>
      <c r="N195" s="44">
        <f>Table1[[#This Row],[one-year conditional mortality AT ISSUE]]/Table1[[#This Row],[one-year conditional persistency AT ISSUE]]</f>
        <v>10330577656.607809</v>
      </c>
      <c r="O195" s="4">
        <f>(1+$B$14)^(Table1[[#This Row],[age since issue]]-$A$17)</f>
        <v>456.43849334821368</v>
      </c>
      <c r="P195" s="5">
        <f>(Table1[[#This Row],[level premium unmarked-up]]*Table1[[#This Row],[unconditional persistency AT ISSUE]]-Table1[[#This Row],[Death benefit pay probability]])</f>
        <v>0</v>
      </c>
      <c r="Q195" s="4">
        <f>Table1[[#This Row],[Issuer profit with unmarked-up level premium]]/Table1[[#This Row],[Issuer discounter at issue]]</f>
        <v>0</v>
      </c>
      <c r="R195" s="4">
        <f>(Table1[[#This Row],[variable premium unmarked up]]*Table1[[#This Row],[unconditional persistency AT ISSUE]]-Table1[[#This Row],[Death benefit pay probability]])</f>
        <v>0</v>
      </c>
      <c r="S195" s="6">
        <f>Table1[[#This Row],[level premium unmarked-up]]*(1+$B$15)</f>
        <v>1.9910109748700498E-3</v>
      </c>
      <c r="T195" s="6">
        <f>MIN(Table1[[#This Row],[variable premium unmarked up]]*(1+$B$15),1)</f>
        <v>1</v>
      </c>
      <c r="U195" s="6">
        <f>Table1[[#This Row],[level premium marked up]]-Table1[[#This Row],[variable premium marked up]]</f>
        <v>-0.99800898902512991</v>
      </c>
      <c r="V195" s="6">
        <f>Table1[[#This Row],[additional cash]]+V194*(1+$D$2)</f>
        <v>-106.57062521791099</v>
      </c>
      <c r="W195" s="12">
        <v>0.5</v>
      </c>
      <c r="X195" s="13">
        <f>1-Table1[[#This Row],[one-year conditional mortality NOW]]</f>
        <v>0.5</v>
      </c>
      <c r="Y195" s="49">
        <f>PRODUCT(X$17:X195)</f>
        <v>3.1885152762115032E-31</v>
      </c>
      <c r="Z195" s="13">
        <f>Table1[[#This Row],[one-year conditional survival NOW]]*(1-Table1[[#This Row],[Lapse rate]])</f>
        <v>0.48399999999999999</v>
      </c>
      <c r="AA195" s="13">
        <f>PRODUCT(Z$17:Z195)</f>
        <v>9.3784932555755062E-34</v>
      </c>
      <c r="AB195" s="50">
        <f>Y194*Table1[[#This Row],[one-year conditional mortality NOW]]</f>
        <v>3.1885152762115032E-31</v>
      </c>
      <c r="AC195" s="14">
        <v>1.9699999999999999E-2</v>
      </c>
      <c r="AD195" s="28">
        <f>(1+Table1[[#This Row],[Yield curve now]])^(Table1[[#This Row],[age since issue]]-$A$23)</f>
        <v>28.658675833791854</v>
      </c>
      <c r="AE195" s="46">
        <f t="shared" si="7"/>
        <v>672.02792010297344</v>
      </c>
      <c r="AF195" s="42">
        <f>1-Table1[[#This Row],[cumulative debt until t]]</f>
        <v>-671.02792010297344</v>
      </c>
      <c r="AG195" s="46">
        <f>Table1[[#This Row],[cumulative debt until t]]*Table1[[#This Row],[Unconditional mortality NOW]]/Table1[[#This Row],[discouter with yield curve]]</f>
        <v>7.4768677440511828E-30</v>
      </c>
      <c r="AH195" s="48">
        <f>Table1[[#This Row],[Unconditional mortality NOW]]/Table1[[#This Row],[discouter with yield curve]]</f>
        <v>1.1125829032379366E-32</v>
      </c>
      <c r="AI195" s="29">
        <f>Table1[[#This Row],[user profit (death benefit - debt)]]*Table1[[#This Row],[Unconditional mortality NOW]]/Table1[[#This Row],[discouter with yield curve]]</f>
        <v>-7.4657419150188023E-30</v>
      </c>
      <c r="AJ195" s="29">
        <f>(1+$D$4)^(Table1[[#This Row],[age since issue]]-$A$23)</f>
        <v>27544097107.772903</v>
      </c>
      <c r="AK195" s="57">
        <f>Table1[[#This Row],[level premium marked up]]*Table1[[#This Row],[unconditional survival NOW]]</f>
        <v>6.3483689084779109E-34</v>
      </c>
      <c r="AL195" s="62">
        <f>Table1[[#This Row],[cumulative debt until t]]*Table1[[#This Row],[Unconditional mortality NOW]]</f>
        <v>2.1427712892889745E-28</v>
      </c>
      <c r="AM195" s="47">
        <f>Table1[[#This Row],[probablistic premium stream]]/Table1[[#This Row],[lender discounter]]</f>
        <v>2.3048019630624999E-44</v>
      </c>
      <c r="AN195" s="58">
        <f>Table1[[#This Row],[probablistic repay from borrower]]/Table1[[#This Row],[lender discounter]]</f>
        <v>7.7794210531021095E-39</v>
      </c>
      <c r="AO195" s="47">
        <f>(Table1[[#This Row],[probablistic repay from borrower]]-Table1[[#This Row],[probablistic premium stream]])/Table1[[#This Row],[lender discounter]]</f>
        <v>7.77939800508248E-39</v>
      </c>
      <c r="AP195" s="46">
        <f>AP194*(1+$D$4)+ Table1[[#This Row],[level premium marked up]]</f>
        <v>420444597.18427145</v>
      </c>
      <c r="AQ195" s="58">
        <f>AP195*Table1[[#This Row],[Unconditional mortality NOW]]</f>
        <v>1.3405940209226415E-22</v>
      </c>
      <c r="AR195" s="60">
        <f>Table1[[#This Row],[cumulative debt until t]]*Table1[[#This Row],[Unconditional mortality NOW]]</f>
        <v>2.1427712892889745E-28</v>
      </c>
      <c r="AS195" s="58">
        <f>Table1[[#This Row],[lender to pay cumulative probablistic undiscounted]]/Table1[[#This Row],[lender discounter]]</f>
        <v>4.8670828296794231E-33</v>
      </c>
    </row>
    <row r="196" spans="1:45" s="3" customFormat="1">
      <c r="A196" s="3">
        <v>200</v>
      </c>
      <c r="B196" s="8">
        <v>3.2000000000000001E-2</v>
      </c>
      <c r="C196" s="3">
        <v>0</v>
      </c>
      <c r="D196" s="8">
        <v>3.2000000000000001E-2</v>
      </c>
      <c r="E196" s="12">
        <v>0.99999999989999999</v>
      </c>
      <c r="F196" s="13">
        <f>1-Table1[[#This Row],[one-year conditional mortality AT ISSUE]]</f>
        <v>1.000000082740371E-10</v>
      </c>
      <c r="G196" s="13">
        <f>PRODUCT(F$17:F196)</f>
        <v>0</v>
      </c>
      <c r="H196" s="13">
        <f>Table1[[#This Row],[one-year conditional survival AT ISSUE]]*(1-Table1[[#This Row],[Lapse rate]])</f>
        <v>9.6800008009267909E-11</v>
      </c>
      <c r="I196" s="13">
        <f>PRODUCT(H$17:H196)</f>
        <v>0</v>
      </c>
      <c r="J196" s="13">
        <f>G195*Table1[[#This Row],[one-year conditional mortality AT ISSUE]]</f>
        <v>0</v>
      </c>
      <c r="K196" s="10">
        <f>I195*Table1[[#This Row],[one-year conditional mortality AT ISSUE]]</f>
        <v>0</v>
      </c>
      <c r="L196" s="3">
        <f t="shared" si="8"/>
        <v>1.9910109748700498E-3</v>
      </c>
      <c r="M196" s="44">
        <v>1</v>
      </c>
      <c r="N196" s="44">
        <f>Table1[[#This Row],[one-year conditional mortality AT ISSUE]]/Table1[[#This Row],[one-year conditional persistency AT ISSUE]]</f>
        <v>10330577656.607809</v>
      </c>
      <c r="O196" s="4">
        <f>(1+$B$14)^(Table1[[#This Row],[age since issue]]-$A$17)</f>
        <v>472.41384061540111</v>
      </c>
      <c r="P196" s="5">
        <f>(Table1[[#This Row],[level premium unmarked-up]]*Table1[[#This Row],[unconditional persistency AT ISSUE]]-Table1[[#This Row],[Death benefit pay probability]])</f>
        <v>0</v>
      </c>
      <c r="Q196" s="4">
        <f>Table1[[#This Row],[Issuer profit with unmarked-up level premium]]/Table1[[#This Row],[Issuer discounter at issue]]</f>
        <v>0</v>
      </c>
      <c r="R196" s="4">
        <f>(Table1[[#This Row],[variable premium unmarked up]]*Table1[[#This Row],[unconditional persistency AT ISSUE]]-Table1[[#This Row],[Death benefit pay probability]])</f>
        <v>0</v>
      </c>
      <c r="S196" s="6">
        <f>Table1[[#This Row],[level premium unmarked-up]]*(1+$B$15)</f>
        <v>1.9910109748700498E-3</v>
      </c>
      <c r="T196" s="6">
        <f>MIN(Table1[[#This Row],[variable premium unmarked up]]*(1+$B$15),1)</f>
        <v>1</v>
      </c>
      <c r="U196" s="6">
        <f>Table1[[#This Row],[level premium marked up]]-Table1[[#This Row],[variable premium marked up]]</f>
        <v>-0.99800898902512991</v>
      </c>
      <c r="V196" s="6">
        <f>Table1[[#This Row],[additional cash]]+V195*(1+$D$2)</f>
        <v>-107.67520483215401</v>
      </c>
      <c r="W196" s="12">
        <v>0.5</v>
      </c>
      <c r="X196" s="13">
        <f>1-Table1[[#This Row],[one-year conditional mortality NOW]]</f>
        <v>0.5</v>
      </c>
      <c r="Y196" s="49">
        <f>PRODUCT(X$17:X196)</f>
        <v>1.5942576381057516E-31</v>
      </c>
      <c r="Z196" s="13">
        <f>Table1[[#This Row],[one-year conditional survival NOW]]*(1-Table1[[#This Row],[Lapse rate]])</f>
        <v>0.48399999999999999</v>
      </c>
      <c r="AA196" s="13">
        <f>PRODUCT(Z$17:Z196)</f>
        <v>4.5391907356985446E-34</v>
      </c>
      <c r="AB196" s="50">
        <f>Y195*Table1[[#This Row],[one-year conditional mortality NOW]]</f>
        <v>1.5942576381057516E-31</v>
      </c>
      <c r="AC196" s="14">
        <v>1.9699999999999999E-2</v>
      </c>
      <c r="AD196" s="28">
        <f>(1+Table1[[#This Row],[Yield curve now]])^(Table1[[#This Row],[age since issue]]-$A$23)</f>
        <v>29.223251747717555</v>
      </c>
      <c r="AE196" s="46">
        <f t="shared" si="7"/>
        <v>711.59710469344134</v>
      </c>
      <c r="AF196" s="42">
        <f>1-Table1[[#This Row],[cumulative debt until t]]</f>
        <v>-710.59710469344134</v>
      </c>
      <c r="AG196" s="46">
        <f>Table1[[#This Row],[cumulative debt until t]]*Table1[[#This Row],[Unconditional mortality NOW]]/Table1[[#This Row],[discouter with yield curve]]</f>
        <v>3.8820769475117129E-30</v>
      </c>
      <c r="AH196" s="48">
        <f>Table1[[#This Row],[Unconditional mortality NOW]]/Table1[[#This Row],[discouter with yield curve]]</f>
        <v>5.4554423028240489E-33</v>
      </c>
      <c r="AI196" s="29">
        <f>Table1[[#This Row],[user profit (death benefit - debt)]]*Table1[[#This Row],[Unconditional mortality NOW]]/Table1[[#This Row],[discouter with yield curve]]</f>
        <v>-3.876621505208889E-30</v>
      </c>
      <c r="AJ196" s="29">
        <f>(1+$D$4)^(Table1[[#This Row],[age since issue]]-$A$23)</f>
        <v>31675711673.938839</v>
      </c>
      <c r="AK196" s="57">
        <f>Table1[[#This Row],[level premium marked up]]*Table1[[#This Row],[unconditional survival NOW]]</f>
        <v>3.1741844542389554E-34</v>
      </c>
      <c r="AL196" s="62">
        <f>Table1[[#This Row],[cumulative debt until t]]*Table1[[#This Row],[Unconditional mortality NOW]]</f>
        <v>1.1344691194114571E-28</v>
      </c>
      <c r="AM196" s="47">
        <f>Table1[[#This Row],[probablistic premium stream]]/Table1[[#This Row],[lender discounter]]</f>
        <v>1.0020878100271738E-44</v>
      </c>
      <c r="AN196" s="58">
        <f>Table1[[#This Row],[probablistic repay from borrower]]/Table1[[#This Row],[lender discounter]]</f>
        <v>3.5815110678155354E-39</v>
      </c>
      <c r="AO196" s="47">
        <f>(Table1[[#This Row],[probablistic repay from borrower]]-Table1[[#This Row],[probablistic premium stream]])/Table1[[#This Row],[lender discounter]]</f>
        <v>3.5815010469374352E-39</v>
      </c>
      <c r="AP196" s="46">
        <f>AP195*(1+$D$4)+ Table1[[#This Row],[level premium marked up]]</f>
        <v>483511286.76390314</v>
      </c>
      <c r="AQ196" s="58">
        <f>AP196*Table1[[#This Row],[Unconditional mortality NOW]]</f>
        <v>7.7084156203369303E-23</v>
      </c>
      <c r="AR196" s="60">
        <f>Table1[[#This Row],[cumulative debt until t]]*Table1[[#This Row],[Unconditional mortality NOW]]</f>
        <v>1.1344691194114571E-28</v>
      </c>
      <c r="AS196" s="58">
        <f>Table1[[#This Row],[lender to pay cumulative probablistic undiscounted]]/Table1[[#This Row],[lender discounter]]</f>
        <v>2.4335414148497324E-33</v>
      </c>
    </row>
    <row r="197" spans="1:45" s="3" customFormat="1">
      <c r="A197" s="3">
        <v>201</v>
      </c>
      <c r="B197" s="8">
        <v>3.2000000000000001E-2</v>
      </c>
      <c r="C197" s="3">
        <v>0</v>
      </c>
      <c r="D197" s="8">
        <v>3.2000000000000001E-2</v>
      </c>
      <c r="E197" s="30">
        <v>0.99999999989999999</v>
      </c>
      <c r="F197" s="31">
        <f>1-Table1[[#This Row],[one-year conditional mortality AT ISSUE]]</f>
        <v>1.000000082740371E-10</v>
      </c>
      <c r="G197" s="31">
        <f>PRODUCT(F$17:F197)</f>
        <v>0</v>
      </c>
      <c r="H197" s="31">
        <f>Table1[[#This Row],[one-year conditional survival AT ISSUE]]*(1-Table1[[#This Row],[Lapse rate]])</f>
        <v>9.6800008009267909E-11</v>
      </c>
      <c r="I197" s="31">
        <f>PRODUCT(H$17:H197)</f>
        <v>0</v>
      </c>
      <c r="J197" s="31">
        <f>G196*Table1[[#This Row],[one-year conditional mortality AT ISSUE]]</f>
        <v>0</v>
      </c>
      <c r="K197" s="32">
        <f>I196*Table1[[#This Row],[one-year conditional mortality AT ISSUE]]</f>
        <v>0</v>
      </c>
      <c r="L197" s="3">
        <f t="shared" si="8"/>
        <v>1.9910109748700498E-3</v>
      </c>
      <c r="M197" s="44">
        <v>1</v>
      </c>
      <c r="N197" s="44">
        <f>Table1[[#This Row],[one-year conditional mortality AT ISSUE]]/Table1[[#This Row],[one-year conditional persistency AT ISSUE]]</f>
        <v>10330577656.607809</v>
      </c>
      <c r="O197" s="4">
        <f>(1+$B$14)^(Table1[[#This Row],[age since issue]]-$A$17)</f>
        <v>488.94832503694016</v>
      </c>
      <c r="P197" s="5">
        <f>(Table1[[#This Row],[level premium unmarked-up]]*Table1[[#This Row],[unconditional persistency AT ISSUE]]-Table1[[#This Row],[Death benefit pay probability]])</f>
        <v>0</v>
      </c>
      <c r="Q197" s="4">
        <f>Table1[[#This Row],[Issuer profit with unmarked-up level premium]]/Table1[[#This Row],[Issuer discounter at issue]]</f>
        <v>0</v>
      </c>
      <c r="R197" s="4">
        <f>(Table1[[#This Row],[variable premium unmarked up]]*Table1[[#This Row],[unconditional persistency AT ISSUE]]-Table1[[#This Row],[Death benefit pay probability]])</f>
        <v>0</v>
      </c>
      <c r="S197" s="6">
        <f>Table1[[#This Row],[level premium unmarked-up]]*(1+$B$15)</f>
        <v>1.9910109748700498E-3</v>
      </c>
      <c r="T197" s="6">
        <f>MIN(Table1[[#This Row],[variable premium unmarked up]]*(1+$B$15),1)</f>
        <v>1</v>
      </c>
      <c r="U197" s="6">
        <f>Table1[[#This Row],[level premium marked up]]-Table1[[#This Row],[variable premium marked up]]</f>
        <v>-0.99800898902512991</v>
      </c>
      <c r="V197" s="6">
        <f>Table1[[#This Row],[additional cash]]+V196*(1+$D$2)</f>
        <v>-108.78088902601128</v>
      </c>
      <c r="W197" s="30">
        <v>0.5</v>
      </c>
      <c r="X197" s="31">
        <f>1-Table1[[#This Row],[one-year conditional mortality NOW]]</f>
        <v>0.5</v>
      </c>
      <c r="Y197" s="56">
        <f>PRODUCT(X$17:X197)</f>
        <v>7.9712881905287581E-32</v>
      </c>
      <c r="Z197" s="31">
        <f>Table1[[#This Row],[one-year conditional survival NOW]]*(1-Table1[[#This Row],[Lapse rate]])</f>
        <v>0.48399999999999999</v>
      </c>
      <c r="AA197" s="31">
        <f>PRODUCT(Z$17:Z197)</f>
        <v>2.1969683160780954E-34</v>
      </c>
      <c r="AB197" s="50">
        <f>Y196*Table1[[#This Row],[one-year conditional mortality NOW]]</f>
        <v>7.9712881905287581E-32</v>
      </c>
      <c r="AC197" s="33">
        <v>1.9699999999999999E-2</v>
      </c>
      <c r="AD197" s="28">
        <f>(1+Table1[[#This Row],[Yield curve now]])^(Table1[[#This Row],[age since issue]]-$A$23)</f>
        <v>29.79894980714759</v>
      </c>
      <c r="AE197" s="46">
        <f t="shared" si="7"/>
        <v>753.49600937609762</v>
      </c>
      <c r="AF197" s="42">
        <f>1-Table1[[#This Row],[cumulative debt until t]]</f>
        <v>-752.49600937609762</v>
      </c>
      <c r="AG197" s="46"/>
      <c r="AH197" s="48"/>
      <c r="AI197" s="29"/>
      <c r="AJ197" s="29"/>
      <c r="AK197" s="57"/>
      <c r="AL197" s="62"/>
      <c r="AM197" s="47"/>
      <c r="AN197" s="58"/>
      <c r="AO197" s="47"/>
      <c r="AP197" s="46"/>
      <c r="AQ197" s="58"/>
      <c r="AR197" s="60"/>
      <c r="AS197" s="58"/>
    </row>
    <row r="198" spans="1:45">
      <c r="A198" s="22" t="s">
        <v>38</v>
      </c>
      <c r="B198" s="34"/>
      <c r="C198" s="22"/>
      <c r="D198" s="35"/>
      <c r="E198" s="36"/>
      <c r="F198" s="37"/>
      <c r="G198" s="37">
        <f>SUBTOTAL(109,Table1[unconditional survival AT ISSUE])</f>
        <v>58.914857602639863</v>
      </c>
      <c r="H198" s="38"/>
      <c r="I198" s="37"/>
      <c r="J198" s="37">
        <f>SUBTOTAL(109,Table1[Unconditional mortality AT ISSUE])</f>
        <v>1</v>
      </c>
      <c r="K198" s="43">
        <f>SUBTOTAL(109,Table1[Death benefit pay probability])</f>
        <v>0.11261449311174331</v>
      </c>
      <c r="L198" s="22"/>
      <c r="M198" s="22"/>
      <c r="N198" s="22"/>
      <c r="O198" s="35"/>
      <c r="P198" s="40"/>
      <c r="Q198" s="41">
        <f>SUBTOTAL(109,Table1[Issuer profit discounted with breakeven premium])</f>
        <v>2.1859250356458923E-13</v>
      </c>
      <c r="R198" s="35"/>
      <c r="S198" s="35"/>
      <c r="T198" s="35"/>
      <c r="U198" s="35"/>
      <c r="V198" s="35"/>
      <c r="W198" s="22"/>
      <c r="X198" s="38"/>
      <c r="Y198" s="37">
        <f>SUBTOTAL(109,Table1[unconditional survival NOW])</f>
        <v>57.471701276147691</v>
      </c>
      <c r="Z198" s="38"/>
      <c r="AA198" s="37"/>
      <c r="AB198" s="37">
        <f>SUBTOTAL(109,Table1[Unconditional mortality NOW])</f>
        <v>0.99999999999999978</v>
      </c>
      <c r="AC198" s="39"/>
      <c r="AD198" s="16"/>
      <c r="AE198" s="16"/>
      <c r="AF198" s="16"/>
      <c r="AG198" s="54">
        <f>SUBTOTAL(109,Table1[user discounted probablistic loan])</f>
        <v>0.32820710073545772</v>
      </c>
      <c r="AH198" s="51">
        <f>SUBTOTAL(109,Table1[user discounted probablistic death benefit])</f>
        <v>0.3369812960518096</v>
      </c>
      <c r="AI198" s="64">
        <f>SUBTOTAL(109,Table1[user discounted probablistic profit])</f>
        <v>8.7741953163519865E-3</v>
      </c>
      <c r="AJ198" s="53"/>
      <c r="AK198" s="55">
        <f>SUBTOTAL(109,Table1[probablistic premium stream])</f>
        <v>0.1144267879852631</v>
      </c>
      <c r="AL198" s="55">
        <f>SUBTOTAL(109,Table1[probablistic repay from borrower])</f>
        <v>1.1130137032758882</v>
      </c>
      <c r="AM198" s="63">
        <f>SUBTOTAL(109,Table1[probablistic discounted unpaid premium])</f>
        <v>1.5188670454300706E-2</v>
      </c>
      <c r="AN198" s="63">
        <f>SUBTOTAL(109,Table1[probablistic discounted repay])</f>
        <v>5.1408194444889051E-4</v>
      </c>
      <c r="AO198" s="55">
        <f>SUBTOTAL(109,Table1[lender discounted probablistic profit per period])</f>
        <v>-1.4674588509851811E-2</v>
      </c>
      <c r="AP198" s="16"/>
      <c r="AQ198" s="59">
        <f>SUBTOTAL(109,Table1[lender to pay cumulative probablistic undiscounted])</f>
        <v>109.75491251021766</v>
      </c>
      <c r="AR198" s="61">
        <f>SUBTOTAL(109,Table1[lender to receive probablistic undiscounted])</f>
        <v>1.1130137032758882</v>
      </c>
      <c r="AS198" s="59">
        <f>SUBTOTAL(109,Table1[lender to pay cumulative probablistic discounted])</f>
        <v>1.5198550500348931E-2</v>
      </c>
    </row>
    <row r="200" spans="1:45">
      <c r="AG200" s="1">
        <v>0.328229390311439</v>
      </c>
      <c r="AI200" s="40">
        <f>Table1[[#Totals],[user discounted probablistic loan]]-Table1[[#Totals],[user discounted probablistic death benefit]]</f>
        <v>-8.7741953163518738E-3</v>
      </c>
      <c r="AM200" s="22">
        <f>Table1[[#Totals],[probablistic discounted unpaid premium]]/Table1[[#Totals],[probablistic discounted repay]]</f>
        <v>29.545232269503966</v>
      </c>
    </row>
    <row r="201" spans="1:45">
      <c r="AG201" s="40">
        <f>AG200-Table1[[#Totals],[user discounted probablistic loan]]</f>
        <v>2.2289575981271348E-5</v>
      </c>
    </row>
    <row r="202" spans="1:45">
      <c r="AG202" s="65">
        <f>AG201/AG200</f>
        <v>6.7908531774445863E-5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DE8A-4758-E94A-B0C2-A989C8E699CD}">
  <dimension ref="A1:AS201"/>
  <sheetViews>
    <sheetView tabSelected="1" zoomScaleNormal="100" workbookViewId="0">
      <pane xSplit="4" ySplit="16" topLeftCell="AB76" activePane="bottomRight" state="frozen"/>
      <selection pane="topRight" activeCell="E1" sqref="E1"/>
      <selection pane="bottomLeft" activeCell="A21" sqref="A21"/>
      <selection pane="bottomRight" activeCell="AG85" sqref="AG85"/>
    </sheetView>
  </sheetViews>
  <sheetFormatPr baseColWidth="10" defaultRowHeight="16"/>
  <cols>
    <col min="1" max="1" width="19.1640625" style="22" bestFit="1" customWidth="1"/>
    <col min="2" max="2" width="11.1640625" style="18" bestFit="1" customWidth="1"/>
    <col min="3" max="3" width="14.1640625" style="19" bestFit="1" customWidth="1"/>
    <col min="4" max="4" width="12.33203125" style="20" customWidth="1"/>
    <col min="5" max="8" width="15" style="20" customWidth="1"/>
    <col min="9" max="9" width="11" style="19" bestFit="1" customWidth="1"/>
    <col min="10" max="10" width="11" style="19" customWidth="1"/>
    <col min="11" max="11" width="13.1640625" style="19" bestFit="1" customWidth="1"/>
    <col min="12" max="12" width="11" style="20" bestFit="1" customWidth="1"/>
    <col min="13" max="13" width="23.83203125" style="20" customWidth="1"/>
    <col min="14" max="14" width="27" style="20" customWidth="1"/>
    <col min="15" max="15" width="11" style="20" bestFit="1" customWidth="1"/>
    <col min="16" max="17" width="13.6640625" style="20" bestFit="1" customWidth="1"/>
    <col min="18" max="22" width="13.6640625" style="20" customWidth="1"/>
    <col min="23" max="24" width="11" style="20" bestFit="1" customWidth="1"/>
    <col min="25" max="25" width="11" style="21" bestFit="1" customWidth="1"/>
    <col min="26" max="27" width="11" style="22" bestFit="1" customWidth="1"/>
    <col min="28" max="28" width="18.83203125" style="22" customWidth="1"/>
    <col min="29" max="29" width="11" style="22" bestFit="1" customWidth="1"/>
    <col min="30" max="30" width="10.83203125" style="22"/>
    <col min="31" max="31" width="14.83203125" style="22" customWidth="1"/>
    <col min="32" max="32" width="16" style="22" customWidth="1"/>
    <col min="33" max="33" width="17.1640625" style="22" bestFit="1" customWidth="1"/>
    <col min="34" max="34" width="12" style="22" bestFit="1" customWidth="1"/>
    <col min="35" max="35" width="13.1640625" style="22" bestFit="1" customWidth="1"/>
    <col min="36" max="36" width="19.83203125" style="22" bestFit="1" customWidth="1"/>
    <col min="37" max="37" width="10.83203125" style="22"/>
    <col min="38" max="38" width="18.1640625" style="22" customWidth="1"/>
    <col min="39" max="39" width="13.5" style="22" customWidth="1"/>
    <col min="40" max="40" width="14" style="22" bestFit="1" customWidth="1"/>
    <col min="41" max="41" width="17" style="22" bestFit="1" customWidth="1"/>
    <col min="42" max="42" width="15.5" style="22" bestFit="1" customWidth="1"/>
    <col min="43" max="43" width="20.1640625" style="22" customWidth="1"/>
    <col min="44" max="44" width="14.5" style="22" bestFit="1" customWidth="1"/>
    <col min="45" max="45" width="14" style="22" bestFit="1" customWidth="1"/>
    <col min="46" max="16384" width="10.83203125" style="22"/>
  </cols>
  <sheetData>
    <row r="1" spans="1:45" ht="17">
      <c r="A1" s="17" t="s">
        <v>30</v>
      </c>
      <c r="B1" s="26">
        <v>2.4615991981893799E-3</v>
      </c>
      <c r="C1" s="19" t="s">
        <v>31</v>
      </c>
    </row>
    <row r="2" spans="1:45">
      <c r="A2" s="7" t="s">
        <v>42</v>
      </c>
      <c r="B2" s="2">
        <v>0.14375541793886501</v>
      </c>
      <c r="C2" s="19" t="s">
        <v>50</v>
      </c>
      <c r="D2" s="20">
        <v>1E-3</v>
      </c>
    </row>
    <row r="3" spans="1:45">
      <c r="A3" s="7"/>
      <c r="B3" s="2"/>
      <c r="C3" s="19" t="s">
        <v>49</v>
      </c>
    </row>
    <row r="4" spans="1:45">
      <c r="A4" s="7"/>
      <c r="B4" s="2"/>
      <c r="C4" s="19" t="s">
        <v>59</v>
      </c>
      <c r="D4" s="2">
        <v>0.01</v>
      </c>
    </row>
    <row r="5" spans="1:45">
      <c r="A5" s="7"/>
      <c r="B5" s="2"/>
    </row>
    <row r="6" spans="1:45">
      <c r="A6" s="7"/>
      <c r="B6" s="2"/>
    </row>
    <row r="7" spans="1:45">
      <c r="A7" s="7"/>
      <c r="B7" s="2"/>
    </row>
    <row r="8" spans="1:45">
      <c r="A8" s="7"/>
      <c r="B8" s="2"/>
    </row>
    <row r="9" spans="1:45">
      <c r="A9" s="7"/>
      <c r="B9" s="2"/>
    </row>
    <row r="10" spans="1:45">
      <c r="A10" s="7" t="s">
        <v>11</v>
      </c>
      <c r="B10" s="2">
        <v>21</v>
      </c>
    </row>
    <row r="11" spans="1:45">
      <c r="A11" s="7" t="s">
        <v>12</v>
      </c>
      <c r="B11" s="2">
        <v>87</v>
      </c>
    </row>
    <row r="12" spans="1:45">
      <c r="A12" s="7" t="s">
        <v>13</v>
      </c>
      <c r="B12" s="2" t="b">
        <v>1</v>
      </c>
    </row>
    <row r="13" spans="1:45">
      <c r="A13" s="7" t="s">
        <v>14</v>
      </c>
      <c r="B13" s="2" t="s">
        <v>69</v>
      </c>
    </row>
    <row r="14" spans="1:45">
      <c r="A14" s="3" t="s">
        <v>23</v>
      </c>
      <c r="B14" s="2">
        <v>3.5000000000000003E-2</v>
      </c>
    </row>
    <row r="15" spans="1:45">
      <c r="A15" s="3" t="s">
        <v>24</v>
      </c>
      <c r="B15" s="2">
        <v>0</v>
      </c>
    </row>
    <row r="16" spans="1:45" s="9" customFormat="1" ht="85">
      <c r="A16" s="9" t="s">
        <v>16</v>
      </c>
      <c r="B16" s="9" t="s">
        <v>32</v>
      </c>
      <c r="C16" s="9" t="s">
        <v>33</v>
      </c>
      <c r="D16" s="11" t="s">
        <v>25</v>
      </c>
      <c r="E16" s="23" t="s">
        <v>18</v>
      </c>
      <c r="F16" s="24" t="s">
        <v>19</v>
      </c>
      <c r="G16" s="24" t="s">
        <v>20</v>
      </c>
      <c r="H16" s="24" t="s">
        <v>26</v>
      </c>
      <c r="I16" s="24" t="s">
        <v>27</v>
      </c>
      <c r="J16" s="27" t="s">
        <v>54</v>
      </c>
      <c r="K16" s="27" t="s">
        <v>34</v>
      </c>
      <c r="L16" s="9" t="s">
        <v>39</v>
      </c>
      <c r="M16" s="9" t="s">
        <v>52</v>
      </c>
      <c r="N16" s="9" t="s">
        <v>55</v>
      </c>
      <c r="O16" s="9" t="s">
        <v>35</v>
      </c>
      <c r="P16" s="9" t="s">
        <v>40</v>
      </c>
      <c r="Q16" s="9" t="s">
        <v>37</v>
      </c>
      <c r="R16" s="9" t="s">
        <v>36</v>
      </c>
      <c r="S16" s="9" t="s">
        <v>43</v>
      </c>
      <c r="T16" s="9" t="s">
        <v>53</v>
      </c>
      <c r="U16" s="9" t="s">
        <v>51</v>
      </c>
      <c r="V16" s="9" t="s">
        <v>49</v>
      </c>
      <c r="W16" s="23" t="s">
        <v>17</v>
      </c>
      <c r="X16" s="24" t="s">
        <v>41</v>
      </c>
      <c r="Y16" s="24" t="s">
        <v>21</v>
      </c>
      <c r="Z16" s="24" t="s">
        <v>28</v>
      </c>
      <c r="AA16" s="24" t="s">
        <v>29</v>
      </c>
      <c r="AB16" s="27" t="s">
        <v>45</v>
      </c>
      <c r="AC16" s="25" t="s">
        <v>22</v>
      </c>
      <c r="AD16" s="9" t="s">
        <v>44</v>
      </c>
      <c r="AE16" s="9" t="s">
        <v>56</v>
      </c>
      <c r="AF16" s="9" t="s">
        <v>47</v>
      </c>
      <c r="AG16" s="9" t="s">
        <v>57</v>
      </c>
      <c r="AH16" s="9" t="s">
        <v>46</v>
      </c>
      <c r="AI16" s="52" t="s">
        <v>48</v>
      </c>
      <c r="AJ16" s="52" t="s">
        <v>58</v>
      </c>
      <c r="AK16" s="9" t="s">
        <v>67</v>
      </c>
      <c r="AL16" s="9" t="s">
        <v>68</v>
      </c>
      <c r="AM16" s="9" t="s">
        <v>61</v>
      </c>
      <c r="AN16" s="9" t="s">
        <v>62</v>
      </c>
      <c r="AO16" s="9" t="s">
        <v>60</v>
      </c>
      <c r="AP16" s="9" t="s">
        <v>63</v>
      </c>
      <c r="AQ16" s="9" t="s">
        <v>64</v>
      </c>
      <c r="AR16" s="9" t="s">
        <v>66</v>
      </c>
      <c r="AS16" s="9" t="s">
        <v>65</v>
      </c>
    </row>
    <row r="17" spans="1:45" s="3" customFormat="1">
      <c r="A17" s="3">
        <v>21</v>
      </c>
      <c r="B17" s="8">
        <v>0</v>
      </c>
      <c r="C17" s="3">
        <v>0</v>
      </c>
      <c r="D17" s="12">
        <v>0</v>
      </c>
      <c r="E17" s="66">
        <v>0</v>
      </c>
      <c r="F17" s="13">
        <f>1-Table13[[#This Row],[one-year conditional mortality AT ISSUE]]</f>
        <v>1</v>
      </c>
      <c r="G17" s="13">
        <f>PRODUCT(F$17:F17)</f>
        <v>1</v>
      </c>
      <c r="H17" s="13">
        <f>Table13[[#This Row],[one-year conditional survival AT ISSUE]]*(1-Table13[[#This Row],[Lapse rate]])</f>
        <v>1</v>
      </c>
      <c r="I17" s="13">
        <f>PRODUCT(H$17:H17)</f>
        <v>1</v>
      </c>
      <c r="J17" s="13">
        <v>0</v>
      </c>
      <c r="K17" s="10">
        <v>0</v>
      </c>
      <c r="L17" s="3">
        <f t="shared" ref="L17:L80" si="0">$B$1</f>
        <v>2.4615991981893799E-3</v>
      </c>
      <c r="M17" s="44">
        <f>Table13[[#This Row],[Death benefit pay probability]]/Table13[[#This Row],[unconditional persistency AT ISSUE]]</f>
        <v>0</v>
      </c>
      <c r="N17" s="44">
        <f>Table13[[#This Row],[one-year conditional mortality AT ISSUE]]/Table13[[#This Row],[one-year conditional persistency AT ISSUE]]</f>
        <v>0</v>
      </c>
      <c r="O17" s="4">
        <f>(1+$B$14)^(Table13[[#This Row],[age since issue]]-$A$17)</f>
        <v>1</v>
      </c>
      <c r="P17" s="5">
        <f>(Table13[[#This Row],[level premium unmarked-up]]*Table13[[#This Row],[unconditional persistency AT ISSUE]]-Table13[[#This Row],[Death benefit pay probability]])</f>
        <v>2.4615991981893799E-3</v>
      </c>
      <c r="Q17" s="4">
        <f>Table13[[#This Row],[Issuer profit with unmarked-up level premium]]/Table13[[#This Row],[Issuer discounter at issue]]</f>
        <v>2.4615991981893799E-3</v>
      </c>
      <c r="R17" s="4">
        <f>(Table13[[#This Row],[variable premium unmarked up]]*Table13[[#This Row],[unconditional persistency AT ISSUE]]-Table13[[#This Row],[Death benefit pay probability]])</f>
        <v>0</v>
      </c>
      <c r="S17" s="6">
        <f>Table13[[#This Row],[level premium unmarked-up]]*(1+$B$15)</f>
        <v>2.4615991981893799E-3</v>
      </c>
      <c r="T17" s="6">
        <f>MIN(Table13[[#This Row],[variable premium unmarked up]]*(1+$B$15),1)</f>
        <v>0</v>
      </c>
      <c r="U17" s="6">
        <f>Table13[[#This Row],[level premium marked up]]-Table13[[#This Row],[variable premium marked up]]</f>
        <v>2.4615991981893799E-3</v>
      </c>
      <c r="V17" s="6">
        <f>Table13[[#This Row],[additional cash]]</f>
        <v>2.4615991981893799E-3</v>
      </c>
      <c r="W17" s="12"/>
      <c r="X17" s="13"/>
      <c r="Y17" s="49"/>
      <c r="Z17" s="13"/>
      <c r="AA17" s="13"/>
      <c r="AB17" s="50"/>
      <c r="AC17" s="12"/>
      <c r="AD17" s="28"/>
      <c r="AE17" s="46"/>
      <c r="AF17" s="42"/>
      <c r="AG17" s="42"/>
      <c r="AH17" s="48"/>
      <c r="AI17" s="29"/>
      <c r="AJ17" s="29"/>
      <c r="AK17" s="57">
        <f>Table13[[#This Row],[level premium marked up]]*Table13[[#This Row],[unconditional survival NOW]]</f>
        <v>0</v>
      </c>
      <c r="AL17" s="62"/>
      <c r="AM17" s="47"/>
      <c r="AN17" s="58"/>
      <c r="AO17" s="47"/>
      <c r="AP17" s="47"/>
      <c r="AQ17" s="58"/>
      <c r="AR17" s="60"/>
      <c r="AS17" s="58"/>
    </row>
    <row r="18" spans="1:45" s="3" customFormat="1">
      <c r="A18" s="3">
        <v>22</v>
      </c>
      <c r="B18" s="8">
        <v>6.6000000000000003E-2</v>
      </c>
      <c r="C18" s="3">
        <v>0</v>
      </c>
      <c r="D18" s="12">
        <v>6.6000000000000003E-2</v>
      </c>
      <c r="E18" s="66">
        <v>6.6E-4</v>
      </c>
      <c r="F18" s="13">
        <f>1-Table13[[#This Row],[one-year conditional mortality AT ISSUE]]</f>
        <v>0.99934000000000001</v>
      </c>
      <c r="G18" s="13">
        <f>PRODUCT(F$17:F18)</f>
        <v>0.99934000000000001</v>
      </c>
      <c r="H18" s="13">
        <f>Table13[[#This Row],[one-year conditional survival AT ISSUE]]*(1-Table13[[#This Row],[Lapse rate]])</f>
        <v>0.93338356</v>
      </c>
      <c r="I18" s="13">
        <f>PRODUCT(H$17:H18)</f>
        <v>0.93338356</v>
      </c>
      <c r="J18" s="13">
        <f>G17*Table13[[#This Row],[one-year conditional mortality AT ISSUE]]</f>
        <v>6.6E-4</v>
      </c>
      <c r="K18" s="10">
        <f>I17*Table13[[#This Row],[one-year conditional mortality AT ISSUE]]</f>
        <v>6.6E-4</v>
      </c>
      <c r="L18" s="3">
        <f t="shared" si="0"/>
        <v>2.4615991981893799E-3</v>
      </c>
      <c r="M18" s="44">
        <f>Table13[[#This Row],[Death benefit pay probability]]/Table13[[#This Row],[unconditional persistency AT ISSUE]]</f>
        <v>7.0710480480286157E-4</v>
      </c>
      <c r="N18" s="44">
        <f>Table13[[#This Row],[one-year conditional mortality AT ISSUE]]/Table13[[#This Row],[one-year conditional persistency AT ISSUE]]</f>
        <v>7.0710480480286157E-4</v>
      </c>
      <c r="O18" s="4">
        <f>(1+$B$14)^(Table13[[#This Row],[age since issue]]-$A$17)</f>
        <v>1.0349999999999999</v>
      </c>
      <c r="P18" s="5">
        <f>(Table13[[#This Row],[level premium unmarked-up]]*Table13[[#This Row],[unconditional persistency AT ISSUE]]-Table13[[#This Row],[Death benefit pay probability]])</f>
        <v>1.6376162228991489E-3</v>
      </c>
      <c r="Q18" s="4">
        <f>Table13[[#This Row],[Issuer profit with unmarked-up level premium]]/Table13[[#This Row],[Issuer discounter at issue]]</f>
        <v>1.582237896520917E-3</v>
      </c>
      <c r="R18" s="4">
        <f>(Table13[[#This Row],[variable premium unmarked up]]*Table13[[#This Row],[unconditional persistency AT ISSUE]]-Table13[[#This Row],[Death benefit pay probability]])</f>
        <v>0</v>
      </c>
      <c r="S18" s="6">
        <f>Table13[[#This Row],[level premium unmarked-up]]*(1+$B$15)</f>
        <v>2.4615991981893799E-3</v>
      </c>
      <c r="T18" s="6">
        <f>MIN(Table13[[#This Row],[variable premium unmarked up]]*(1+$B$15),1)</f>
        <v>7.0710480480286157E-4</v>
      </c>
      <c r="U18" s="6">
        <f>Table13[[#This Row],[level premium marked up]]-Table13[[#This Row],[variable premium marked up]]</f>
        <v>1.7544943933865183E-3</v>
      </c>
      <c r="V18" s="6">
        <f>Table13[[#This Row],[additional cash]]+V17*(1+$D$2)</f>
        <v>4.2185551907740872E-3</v>
      </c>
      <c r="W18" s="12"/>
      <c r="X18" s="13"/>
      <c r="Y18" s="49"/>
      <c r="Z18" s="13"/>
      <c r="AA18" s="13"/>
      <c r="AB18" s="50"/>
      <c r="AC18" s="12"/>
      <c r="AD18" s="28"/>
      <c r="AE18" s="46"/>
      <c r="AF18" s="42"/>
      <c r="AG18" s="42"/>
      <c r="AH18" s="48"/>
      <c r="AI18" s="29"/>
      <c r="AJ18" s="29"/>
      <c r="AK18" s="57">
        <f>Table13[[#This Row],[level premium marked up]]*Table13[[#This Row],[unconditional survival NOW]]</f>
        <v>0</v>
      </c>
      <c r="AL18" s="62"/>
      <c r="AM18" s="47"/>
      <c r="AN18" s="58"/>
      <c r="AO18" s="47"/>
      <c r="AP18" s="47"/>
      <c r="AQ18" s="58"/>
      <c r="AR18" s="60"/>
      <c r="AS18" s="58"/>
    </row>
    <row r="19" spans="1:45" s="3" customFormat="1">
      <c r="A19" s="3">
        <v>23</v>
      </c>
      <c r="B19" s="8">
        <v>7.3999999999999996E-2</v>
      </c>
      <c r="C19" s="3">
        <v>0</v>
      </c>
      <c r="D19" s="12">
        <v>7.3999999999999996E-2</v>
      </c>
      <c r="E19" s="66">
        <v>6.6E-4</v>
      </c>
      <c r="F19" s="13">
        <f>1-Table13[[#This Row],[one-year conditional mortality AT ISSUE]]</f>
        <v>0.99934000000000001</v>
      </c>
      <c r="G19" s="13">
        <f>PRODUCT(F$17:F19)</f>
        <v>0.99868043559999997</v>
      </c>
      <c r="H19" s="13">
        <f>Table13[[#This Row],[one-year conditional survival AT ISSUE]]*(1-Table13[[#This Row],[Lapse rate]])</f>
        <v>0.9253888400000001</v>
      </c>
      <c r="I19" s="13">
        <f>PRODUCT(H$17:H19)</f>
        <v>0.86374272986347045</v>
      </c>
      <c r="J19" s="13">
        <f>G18*Table13[[#This Row],[one-year conditional mortality AT ISSUE]]</f>
        <v>6.5956439999999999E-4</v>
      </c>
      <c r="K19" s="10">
        <f>I18*Table13[[#This Row],[one-year conditional mortality AT ISSUE]]</f>
        <v>6.1603314960000002E-4</v>
      </c>
      <c r="L19" s="3">
        <f t="shared" si="0"/>
        <v>2.4615991981893799E-3</v>
      </c>
      <c r="M19" s="44">
        <f>Table13[[#This Row],[Death benefit pay probability]]/Table13[[#This Row],[unconditional persistency AT ISSUE]]</f>
        <v>7.1321370160461412E-4</v>
      </c>
      <c r="N19" s="44">
        <f>Table13[[#This Row],[one-year conditional mortality AT ISSUE]]/Table13[[#This Row],[one-year conditional persistency AT ISSUE]]</f>
        <v>7.1321370160461401E-4</v>
      </c>
      <c r="O19" s="4">
        <f>(1+$B$14)^(Table13[[#This Row],[age since issue]]-$A$17)</f>
        <v>1.0712249999999999</v>
      </c>
      <c r="P19" s="5">
        <f>(Table13[[#This Row],[level premium unmarked-up]]*Table13[[#This Row],[unconditional persistency AT ISSUE]]-Table13[[#This Row],[Death benefit pay probability]])</f>
        <v>1.510155261673825E-3</v>
      </c>
      <c r="Q19" s="4">
        <f>Table13[[#This Row],[Issuer profit with unmarked-up level premium]]/Table13[[#This Row],[Issuer discounter at issue]]</f>
        <v>1.4097460959871411E-3</v>
      </c>
      <c r="R19" s="4">
        <f>(Table13[[#This Row],[variable premium unmarked up]]*Table13[[#This Row],[unconditional persistency AT ISSUE]]-Table13[[#This Row],[Death benefit pay probability]])</f>
        <v>0</v>
      </c>
      <c r="S19" s="6">
        <f>Table13[[#This Row],[level premium unmarked-up]]*(1+$B$15)</f>
        <v>2.4615991981893799E-3</v>
      </c>
      <c r="T19" s="6">
        <f>MIN(Table13[[#This Row],[variable premium unmarked up]]*(1+$B$15),1)</f>
        <v>7.1321370160461412E-4</v>
      </c>
      <c r="U19" s="6">
        <f>Table13[[#This Row],[level premium marked up]]-Table13[[#This Row],[variable premium marked up]]</f>
        <v>1.7483854965847658E-3</v>
      </c>
      <c r="V19" s="6">
        <f>Table13[[#This Row],[additional cash]]+V18*(1+$D$2)</f>
        <v>5.9711592425496264E-3</v>
      </c>
      <c r="W19" s="12"/>
      <c r="X19" s="13"/>
      <c r="Y19" s="49"/>
      <c r="Z19" s="13"/>
      <c r="AA19" s="13"/>
      <c r="AB19" s="50"/>
      <c r="AC19" s="12"/>
      <c r="AD19" s="28"/>
      <c r="AE19" s="46"/>
      <c r="AF19" s="42"/>
      <c r="AG19" s="42"/>
      <c r="AH19" s="48"/>
      <c r="AI19" s="29"/>
      <c r="AJ19" s="29"/>
      <c r="AK19" s="57">
        <f>Table13[[#This Row],[level premium marked up]]*Table13[[#This Row],[unconditional survival NOW]]</f>
        <v>0</v>
      </c>
      <c r="AL19" s="62"/>
      <c r="AM19" s="47"/>
      <c r="AN19" s="58"/>
      <c r="AO19" s="47"/>
      <c r="AP19" s="47"/>
      <c r="AQ19" s="58"/>
      <c r="AR19" s="60"/>
      <c r="AS19" s="58"/>
    </row>
    <row r="20" spans="1:45" s="3" customFormat="1">
      <c r="A20" s="3">
        <v>24</v>
      </c>
      <c r="B20" s="8">
        <v>6.6000000000000003E-2</v>
      </c>
      <c r="C20" s="3">
        <v>0</v>
      </c>
      <c r="D20" s="12">
        <v>6.6000000000000003E-2</v>
      </c>
      <c r="E20" s="66">
        <v>6.6E-4</v>
      </c>
      <c r="F20" s="13">
        <f>1-Table13[[#This Row],[one-year conditional mortality AT ISSUE]]</f>
        <v>0.99934000000000001</v>
      </c>
      <c r="G20" s="13">
        <f>PRODUCT(F$17:F20)</f>
        <v>0.99802130651250398</v>
      </c>
      <c r="H20" s="13">
        <f>Table13[[#This Row],[one-year conditional survival AT ISSUE]]*(1-Table13[[#This Row],[Lapse rate]])</f>
        <v>0.93338356</v>
      </c>
      <c r="I20" s="13">
        <f>PRODUCT(H$17:H20)</f>
        <v>0.80620326412408438</v>
      </c>
      <c r="J20" s="13">
        <f>G19*Table13[[#This Row],[one-year conditional mortality AT ISSUE]]</f>
        <v>6.5912908749599997E-4</v>
      </c>
      <c r="K20" s="10">
        <f>I19*Table13[[#This Row],[one-year conditional mortality AT ISSUE]]</f>
        <v>5.7007020170989054E-4</v>
      </c>
      <c r="L20" s="3">
        <f t="shared" si="0"/>
        <v>2.4615991981893799E-3</v>
      </c>
      <c r="M20" s="44">
        <f>Table13[[#This Row],[Death benefit pay probability]]/Table13[[#This Row],[unconditional persistency AT ISSUE]]</f>
        <v>7.0710480480286157E-4</v>
      </c>
      <c r="N20" s="44">
        <f>Table13[[#This Row],[one-year conditional mortality AT ISSUE]]/Table13[[#This Row],[one-year conditional persistency AT ISSUE]]</f>
        <v>7.0710480480286157E-4</v>
      </c>
      <c r="O20" s="4">
        <f>(1+$B$14)^(Table13[[#This Row],[age since issue]]-$A$17)</f>
        <v>1.1087178749999997</v>
      </c>
      <c r="P20" s="5">
        <f>(Table13[[#This Row],[level premium unmarked-up]]*Table13[[#This Row],[unconditional persistency AT ISSUE]]-Table13[[#This Row],[Death benefit pay probability]])</f>
        <v>1.4144791068356163E-3</v>
      </c>
      <c r="Q20" s="4">
        <f>Table13[[#This Row],[Issuer profit with unmarked-up level premium]]/Table13[[#This Row],[Issuer discounter at issue]]</f>
        <v>1.2757791127302035E-3</v>
      </c>
      <c r="R20" s="4">
        <f>(Table13[[#This Row],[variable premium unmarked up]]*Table13[[#This Row],[unconditional persistency AT ISSUE]]-Table13[[#This Row],[Death benefit pay probability]])</f>
        <v>0</v>
      </c>
      <c r="S20" s="6">
        <f>Table13[[#This Row],[level premium unmarked-up]]*(1+$B$15)</f>
        <v>2.4615991981893799E-3</v>
      </c>
      <c r="T20" s="6">
        <f>MIN(Table13[[#This Row],[variable premium unmarked up]]*(1+$B$15),1)</f>
        <v>7.0710480480286157E-4</v>
      </c>
      <c r="U20" s="6">
        <f>Table13[[#This Row],[level premium marked up]]-Table13[[#This Row],[variable premium marked up]]</f>
        <v>1.7544943933865183E-3</v>
      </c>
      <c r="V20" s="6">
        <f>Table13[[#This Row],[additional cash]]+V19*(1+$D$2)</f>
        <v>7.731624795178694E-3</v>
      </c>
      <c r="W20" s="12"/>
      <c r="X20" s="13"/>
      <c r="Y20" s="49"/>
      <c r="Z20" s="13"/>
      <c r="AA20" s="13"/>
      <c r="AB20" s="50"/>
      <c r="AC20" s="12"/>
      <c r="AD20" s="28"/>
      <c r="AE20" s="46"/>
      <c r="AF20" s="42"/>
      <c r="AG20" s="42"/>
      <c r="AH20" s="48"/>
      <c r="AI20" s="29"/>
      <c r="AJ20" s="29"/>
      <c r="AK20" s="57">
        <f>Table13[[#This Row],[level premium marked up]]*Table13[[#This Row],[unconditional survival NOW]]</f>
        <v>0</v>
      </c>
      <c r="AL20" s="62"/>
      <c r="AM20" s="47"/>
      <c r="AN20" s="58"/>
      <c r="AO20" s="47"/>
      <c r="AP20" s="47"/>
      <c r="AQ20" s="58"/>
      <c r="AR20" s="60"/>
      <c r="AS20" s="58"/>
    </row>
    <row r="21" spans="1:45" s="3" customFormat="1">
      <c r="A21" s="3">
        <v>25</v>
      </c>
      <c r="B21" s="8">
        <v>0.06</v>
      </c>
      <c r="C21" s="3">
        <v>0</v>
      </c>
      <c r="D21" s="12">
        <v>0.06</v>
      </c>
      <c r="E21" s="66">
        <v>6.6E-4</v>
      </c>
      <c r="F21" s="13">
        <f>1-Table13[[#This Row],[one-year conditional mortality AT ISSUE]]</f>
        <v>0.99934000000000001</v>
      </c>
      <c r="G21" s="13">
        <f>PRODUCT(F$17:F21)</f>
        <v>0.99736261245020574</v>
      </c>
      <c r="H21" s="13">
        <f>Table13[[#This Row],[one-year conditional survival AT ISSUE]]*(1-Table13[[#This Row],[Lapse rate]])</f>
        <v>0.93937959999999998</v>
      </c>
      <c r="I21" s="13">
        <f>PRODUCT(H$17:H21)</f>
        <v>0.75733089977157675</v>
      </c>
      <c r="J21" s="13">
        <f>G20*Table13[[#This Row],[one-year conditional mortality AT ISSUE]]</f>
        <v>6.5869406229825264E-4</v>
      </c>
      <c r="K21" s="10">
        <f>I20*Table13[[#This Row],[one-year conditional mortality AT ISSUE]]</f>
        <v>5.3209415432189564E-4</v>
      </c>
      <c r="L21" s="3">
        <f t="shared" si="0"/>
        <v>2.4615991981893799E-3</v>
      </c>
      <c r="M21" s="44">
        <f>Table13[[#This Row],[Death benefit pay probability]]/Table13[[#This Row],[unconditional persistency AT ISSUE]]</f>
        <v>7.0259136987858785E-4</v>
      </c>
      <c r="N21" s="44">
        <f>Table13[[#This Row],[one-year conditional mortality AT ISSUE]]/Table13[[#This Row],[one-year conditional persistency AT ISSUE]]</f>
        <v>7.0259136987858796E-4</v>
      </c>
      <c r="O21" s="4">
        <f>(1+$B$14)^(Table13[[#This Row],[age since issue]]-$A$17)</f>
        <v>1.1475230006249997</v>
      </c>
      <c r="P21" s="5">
        <f>(Table13[[#This Row],[level premium unmarked-up]]*Table13[[#This Row],[unconditional persistency AT ISSUE]]-Table13[[#This Row],[Death benefit pay probability]])</f>
        <v>1.3321509813198594E-3</v>
      </c>
      <c r="Q21" s="4">
        <f>Table13[[#This Row],[Issuer profit with unmarked-up level premium]]/Table13[[#This Row],[Issuer discounter at issue]]</f>
        <v>1.1608926187922175E-3</v>
      </c>
      <c r="R21" s="4">
        <f>(Table13[[#This Row],[variable premium unmarked up]]*Table13[[#This Row],[unconditional persistency AT ISSUE]]-Table13[[#This Row],[Death benefit pay probability]])</f>
        <v>0</v>
      </c>
      <c r="S21" s="6">
        <f>Table13[[#This Row],[level premium unmarked-up]]*(1+$B$15)</f>
        <v>2.4615991981893799E-3</v>
      </c>
      <c r="T21" s="6">
        <f>MIN(Table13[[#This Row],[variable premium unmarked up]]*(1+$B$15),1)</f>
        <v>7.0259136987858785E-4</v>
      </c>
      <c r="U21" s="6">
        <f>Table13[[#This Row],[level premium marked up]]-Table13[[#This Row],[variable premium marked up]]</f>
        <v>1.7590078283107921E-3</v>
      </c>
      <c r="V21" s="6">
        <f>Table13[[#This Row],[additional cash]]+V20*(1+$D$2)</f>
        <v>9.4983642482846641E-3</v>
      </c>
      <c r="W21" s="12"/>
      <c r="X21" s="13"/>
      <c r="Y21" s="49"/>
      <c r="Z21" s="13"/>
      <c r="AA21" s="13"/>
      <c r="AB21" s="50"/>
      <c r="AC21" s="12"/>
      <c r="AD21" s="28"/>
      <c r="AE21" s="46"/>
      <c r="AF21" s="42"/>
      <c r="AG21" s="42"/>
      <c r="AH21" s="48"/>
      <c r="AI21" s="29"/>
      <c r="AJ21" s="29"/>
      <c r="AK21" s="57">
        <f>Table13[[#This Row],[level premium marked up]]*Table13[[#This Row],[unconditional survival NOW]]</f>
        <v>0</v>
      </c>
      <c r="AL21" s="62"/>
      <c r="AM21" s="47"/>
      <c r="AN21" s="58"/>
      <c r="AO21" s="47"/>
      <c r="AP21" s="47"/>
      <c r="AQ21" s="58"/>
      <c r="AR21" s="60"/>
      <c r="AS21" s="58"/>
    </row>
    <row r="22" spans="1:45" s="3" customFormat="1">
      <c r="A22" s="3">
        <v>26</v>
      </c>
      <c r="B22" s="8">
        <v>5.2999999999999999E-2</v>
      </c>
      <c r="C22" s="3">
        <v>0</v>
      </c>
      <c r="D22" s="12">
        <v>5.2999999999999999E-2</v>
      </c>
      <c r="E22" s="66">
        <v>6.8000000000000005E-4</v>
      </c>
      <c r="F22" s="13">
        <f>1-Table13[[#This Row],[one-year conditional mortality AT ISSUE]]</f>
        <v>0.99931999999999999</v>
      </c>
      <c r="G22" s="13">
        <f>PRODUCT(F$17:F22)</f>
        <v>0.99668440587373963</v>
      </c>
      <c r="H22" s="13">
        <f>Table13[[#This Row],[one-year conditional survival AT ISSUE]]*(1-Table13[[#This Row],[Lapse rate]])</f>
        <v>0.94635603999999995</v>
      </c>
      <c r="I22" s="13">
        <f>PRODUCT(H$17:H22)</f>
        <v>0.71670467127746629</v>
      </c>
      <c r="J22" s="13">
        <f>G21*Table13[[#This Row],[one-year conditional mortality AT ISSUE]]</f>
        <v>6.7820657646614001E-4</v>
      </c>
      <c r="K22" s="10">
        <f>I21*Table13[[#This Row],[one-year conditional mortality AT ISSUE]]</f>
        <v>5.1498501184467219E-4</v>
      </c>
      <c r="L22" s="3">
        <f t="shared" si="0"/>
        <v>2.4615991981893799E-3</v>
      </c>
      <c r="M22" s="44">
        <f>Table13[[#This Row],[Death benefit pay probability]]/Table13[[#This Row],[unconditional persistency AT ISSUE]]</f>
        <v>7.1854563320587035E-4</v>
      </c>
      <c r="N22" s="44">
        <f>Table13[[#This Row],[one-year conditional mortality AT ISSUE]]/Table13[[#This Row],[one-year conditional persistency AT ISSUE]]</f>
        <v>7.1854563320587045E-4</v>
      </c>
      <c r="O22" s="4">
        <f>(1+$B$14)^(Table13[[#This Row],[age since issue]]-$A$17)</f>
        <v>1.1876863056468745</v>
      </c>
      <c r="P22" s="5">
        <f>(Table13[[#This Row],[level premium unmarked-up]]*Table13[[#This Row],[unconditional persistency AT ISSUE]]-Table13[[#This Row],[Death benefit pay probability]])</f>
        <v>1.2492546323105221E-3</v>
      </c>
      <c r="Q22" s="4">
        <f>Table13[[#This Row],[Issuer profit with unmarked-up level premium]]/Table13[[#This Row],[Issuer discounter at issue]]</f>
        <v>1.0518388789791714E-3</v>
      </c>
      <c r="R22" s="4">
        <f>(Table13[[#This Row],[variable premium unmarked up]]*Table13[[#This Row],[unconditional persistency AT ISSUE]]-Table13[[#This Row],[Death benefit pay probability]])</f>
        <v>0</v>
      </c>
      <c r="S22" s="6">
        <f>Table13[[#This Row],[level premium unmarked-up]]*(1+$B$15)</f>
        <v>2.4615991981893799E-3</v>
      </c>
      <c r="T22" s="6">
        <f>MIN(Table13[[#This Row],[variable premium unmarked up]]*(1+$B$15),1)</f>
        <v>7.1854563320587035E-4</v>
      </c>
      <c r="U22" s="6">
        <f>Table13[[#This Row],[level premium marked up]]-Table13[[#This Row],[variable premium marked up]]</f>
        <v>1.7430535649835097E-3</v>
      </c>
      <c r="V22" s="45">
        <f>Table13[[#This Row],[additional cash]]+V21*(1+$D$2)</f>
        <v>1.1250916177516458E-2</v>
      </c>
      <c r="W22" s="12"/>
      <c r="X22" s="13"/>
      <c r="Y22" s="49"/>
      <c r="Z22" s="13"/>
      <c r="AA22" s="13"/>
      <c r="AB22" s="50"/>
      <c r="AC22" s="12"/>
      <c r="AD22" s="28"/>
      <c r="AE22" s="46"/>
      <c r="AF22" s="42"/>
      <c r="AG22" s="42"/>
      <c r="AH22" s="48"/>
      <c r="AI22" s="29"/>
      <c r="AJ22" s="29"/>
      <c r="AK22" s="57">
        <f>Table13[[#This Row],[level premium marked up]]*Table13[[#This Row],[unconditional survival NOW]]</f>
        <v>0</v>
      </c>
      <c r="AL22" s="62"/>
      <c r="AM22" s="47"/>
      <c r="AN22" s="58"/>
      <c r="AO22" s="47"/>
      <c r="AP22" s="47"/>
      <c r="AQ22" s="58"/>
      <c r="AR22" s="60"/>
      <c r="AS22" s="58"/>
    </row>
    <row r="23" spans="1:45" s="3" customFormat="1">
      <c r="A23" s="3">
        <v>27</v>
      </c>
      <c r="B23" s="8">
        <v>4.9000000000000002E-2</v>
      </c>
      <c r="C23" s="3">
        <v>0</v>
      </c>
      <c r="D23" s="12">
        <v>4.9000000000000002E-2</v>
      </c>
      <c r="E23" s="66">
        <v>6.8999999999999997E-4</v>
      </c>
      <c r="F23" s="13">
        <f>1-Table13[[#This Row],[one-year conditional mortality AT ISSUE]]</f>
        <v>0.99931000000000003</v>
      </c>
      <c r="G23" s="13">
        <f>PRODUCT(F$17:F23)</f>
        <v>0.99599669363368681</v>
      </c>
      <c r="H23" s="13">
        <f>Table13[[#This Row],[one-year conditional survival AT ISSUE]]*(1-Table13[[#This Row],[Lapse rate]])</f>
        <v>0.95034381000000001</v>
      </c>
      <c r="I23" s="13">
        <f>PRODUCT(H$17:H23)</f>
        <v>0.68111584794662494</v>
      </c>
      <c r="J23" s="13">
        <f>G22*Table13[[#This Row],[one-year conditional mortality AT ISSUE]]</f>
        <v>6.8771224005288029E-4</v>
      </c>
      <c r="K23" s="10">
        <f>I22*Table13[[#This Row],[one-year conditional mortality AT ISSUE]]</f>
        <v>4.9452622318145174E-4</v>
      </c>
      <c r="L23" s="3">
        <f t="shared" si="0"/>
        <v>2.4615991981893799E-3</v>
      </c>
      <c r="M23" s="44">
        <f>Table13[[#This Row],[Death benefit pay probability]]/Table13[[#This Row],[unconditional persistency AT ISSUE]]</f>
        <v>7.2605302706185877E-4</v>
      </c>
      <c r="N23" s="44">
        <f>Table13[[#This Row],[one-year conditional mortality AT ISSUE]]/Table13[[#This Row],[one-year conditional persistency AT ISSUE]]</f>
        <v>7.2605302706185877E-4</v>
      </c>
      <c r="O23" s="4">
        <f>(1+$B$14)^(Table13[[#This Row],[age since issue]]-$A$17)</f>
        <v>1.2292553263445152</v>
      </c>
      <c r="P23" s="5">
        <f>(Table13[[#This Row],[level premium unmarked-up]]*Table13[[#This Row],[unconditional persistency AT ISSUE]]-Table13[[#This Row],[Death benefit pay probability]])</f>
        <v>1.1821080019980398E-3</v>
      </c>
      <c r="Q23" s="4">
        <f>Table13[[#This Row],[Issuer profit with unmarked-up level premium]]/Table13[[#This Row],[Issuer discounter at issue]]</f>
        <v>9.6164562126675572E-4</v>
      </c>
      <c r="R23" s="4">
        <f>(Table13[[#This Row],[variable premium unmarked up]]*Table13[[#This Row],[unconditional persistency AT ISSUE]]-Table13[[#This Row],[Death benefit pay probability]])</f>
        <v>0</v>
      </c>
      <c r="S23" s="6">
        <f>Table13[[#This Row],[level premium unmarked-up]]*(1+$B$15)</f>
        <v>2.4615991981893799E-3</v>
      </c>
      <c r="T23" s="6">
        <f>MIN(Table13[[#This Row],[variable premium unmarked up]]*(1+$B$15),1)</f>
        <v>7.2605302706185877E-4</v>
      </c>
      <c r="U23" s="6">
        <f>Table13[[#This Row],[level premium marked up]]-Table13[[#This Row],[variable premium marked up]]</f>
        <v>1.7355461711275211E-3</v>
      </c>
      <c r="V23" s="6">
        <f>Table13[[#This Row],[additional cash]]+V22*(1+$D$2)</f>
        <v>1.2997713264821494E-2</v>
      </c>
      <c r="W23" s="12"/>
      <c r="X23" s="13"/>
      <c r="Y23" s="49"/>
      <c r="Z23" s="13"/>
      <c r="AA23" s="13"/>
      <c r="AB23" s="50"/>
      <c r="AC23" s="14"/>
      <c r="AD23" s="28"/>
      <c r="AE23" s="46"/>
      <c r="AF23" s="42"/>
      <c r="AG23" s="46"/>
      <c r="AH23" s="48"/>
      <c r="AI23" s="29"/>
      <c r="AJ23" s="29"/>
      <c r="AK23" s="57">
        <f>Table13[[#This Row],[level premium marked up]]*Table13[[#This Row],[unconditional survival NOW]]</f>
        <v>0</v>
      </c>
      <c r="AL23" s="62">
        <f>Table13[[#This Row],[cumulative debt until t]]*Table13[[#This Row],[Unconditional mortality NOW]]</f>
        <v>0</v>
      </c>
      <c r="AM23" s="47"/>
      <c r="AN23" s="58"/>
      <c r="AO23" s="47"/>
      <c r="AP23" s="46"/>
      <c r="AQ23" s="58"/>
      <c r="AR23" s="60"/>
      <c r="AS23" s="58"/>
    </row>
    <row r="24" spans="1:45" s="3" customFormat="1">
      <c r="A24" s="3">
        <v>28</v>
      </c>
      <c r="B24" s="8">
        <v>4.3999999999999997E-2</v>
      </c>
      <c r="C24" s="3">
        <v>0</v>
      </c>
      <c r="D24" s="12">
        <v>4.3999999999999997E-2</v>
      </c>
      <c r="E24" s="66">
        <v>7.1000000000000002E-4</v>
      </c>
      <c r="F24" s="13">
        <f>1-Table13[[#This Row],[one-year conditional mortality AT ISSUE]]</f>
        <v>0.99929000000000001</v>
      </c>
      <c r="G24" s="13">
        <f>PRODUCT(F$17:F24)</f>
        <v>0.99528953598120695</v>
      </c>
      <c r="H24" s="13">
        <f>Table13[[#This Row],[one-year conditional survival AT ISSUE]]*(1-Table13[[#This Row],[Lapse rate]])</f>
        <v>0.95532123999999996</v>
      </c>
      <c r="I24" s="13">
        <f>PRODUCT(H$17:H24)</f>
        <v>0.65068443644402119</v>
      </c>
      <c r="J24" s="13">
        <f>G23*Table13[[#This Row],[one-year conditional mortality AT ISSUE]]</f>
        <v>7.0715765247991768E-4</v>
      </c>
      <c r="K24" s="10">
        <f>I23*Table13[[#This Row],[one-year conditional mortality AT ISSUE]]</f>
        <v>4.8359225204210374E-4</v>
      </c>
      <c r="L24" s="3">
        <f t="shared" si="0"/>
        <v>2.4615991981893799E-3</v>
      </c>
      <c r="M24" s="44">
        <f>Table13[[#This Row],[Death benefit pay probability]]/Table13[[#This Row],[unconditional persistency AT ISSUE]]</f>
        <v>7.432055001729053E-4</v>
      </c>
      <c r="N24" s="44">
        <f>Table13[[#This Row],[one-year conditional mortality AT ISSUE]]/Table13[[#This Row],[one-year conditional persistency AT ISSUE]]</f>
        <v>7.4320550017290519E-4</v>
      </c>
      <c r="O24" s="4">
        <f>(1+$B$14)^(Table13[[#This Row],[age since issue]]-$A$17)</f>
        <v>1.2722792627665731</v>
      </c>
      <c r="P24" s="5">
        <f>(Table13[[#This Row],[level premium unmarked-up]]*Table13[[#This Row],[unconditional persistency AT ISSUE]]-Table13[[#This Row],[Death benefit pay probability]])</f>
        <v>1.1181320349828074E-3</v>
      </c>
      <c r="Q24" s="4">
        <f>Table13[[#This Row],[Issuer profit with unmarked-up level premium]]/Table13[[#This Row],[Issuer discounter at issue]]</f>
        <v>8.7884167234749051E-4</v>
      </c>
      <c r="R24" s="4">
        <f>(Table13[[#This Row],[variable premium unmarked up]]*Table13[[#This Row],[unconditional persistency AT ISSUE]]-Table13[[#This Row],[Death benefit pay probability]])</f>
        <v>5.4210108624275222E-20</v>
      </c>
      <c r="S24" s="6">
        <f>Table13[[#This Row],[level premium unmarked-up]]*(1+$B$15)</f>
        <v>2.4615991981893799E-3</v>
      </c>
      <c r="T24" s="6">
        <f>MIN(Table13[[#This Row],[variable premium unmarked up]]*(1+$B$15),1)</f>
        <v>7.432055001729053E-4</v>
      </c>
      <c r="U24" s="6">
        <f>Table13[[#This Row],[level premium marked up]]-Table13[[#This Row],[variable premium marked up]]</f>
        <v>1.7183936980164746E-3</v>
      </c>
      <c r="V24" s="6">
        <f>Table13[[#This Row],[additional cash]]+V23*(1+$D$2)</f>
        <v>1.4729104676102788E-2</v>
      </c>
      <c r="W24" s="12"/>
      <c r="X24" s="13"/>
      <c r="Y24" s="49"/>
      <c r="Z24" s="13"/>
      <c r="AA24" s="13"/>
      <c r="AB24" s="50"/>
      <c r="AC24" s="14"/>
      <c r="AD24" s="28"/>
      <c r="AE24" s="46"/>
      <c r="AF24" s="42"/>
      <c r="AG24" s="46"/>
      <c r="AH24" s="48"/>
      <c r="AI24" s="29"/>
      <c r="AJ24" s="29"/>
      <c r="AK24" s="57">
        <f>Table13[[#This Row],[level premium marked up]]*Table13[[#This Row],[unconditional survival NOW]]</f>
        <v>0</v>
      </c>
      <c r="AL24" s="62">
        <f>Table13[[#This Row],[cumulative debt until t]]*Table13[[#This Row],[Unconditional mortality NOW]]</f>
        <v>0</v>
      </c>
      <c r="AM24" s="47"/>
      <c r="AN24" s="58"/>
      <c r="AO24" s="47"/>
      <c r="AP24" s="46"/>
      <c r="AQ24" s="58"/>
      <c r="AR24" s="60"/>
      <c r="AS24" s="58"/>
    </row>
    <row r="25" spans="1:45" s="3" customFormat="1">
      <c r="A25" s="3">
        <v>29</v>
      </c>
      <c r="B25" s="8">
        <v>4.2999999999999997E-2</v>
      </c>
      <c r="C25" s="3">
        <v>0</v>
      </c>
      <c r="D25" s="12">
        <v>4.2999999999999997E-2</v>
      </c>
      <c r="E25" s="66">
        <v>7.1000000000000002E-4</v>
      </c>
      <c r="F25" s="13">
        <f>1-Table13[[#This Row],[one-year conditional mortality AT ISSUE]]</f>
        <v>0.99929000000000001</v>
      </c>
      <c r="G25" s="13">
        <f>PRODUCT(F$17:F25)</f>
        <v>0.99458288041066034</v>
      </c>
      <c r="H25" s="13">
        <f>Table13[[#This Row],[one-year conditional survival AT ISSUE]]*(1-Table13[[#This Row],[Lapse rate]])</f>
        <v>0.95632052999999995</v>
      </c>
      <c r="I25" s="13">
        <f>PRODUCT(H$17:H25)</f>
        <v>0.62226288512289762</v>
      </c>
      <c r="J25" s="13">
        <f>G24*Table13[[#This Row],[one-year conditional mortality AT ISSUE]]</f>
        <v>7.0665557054665695E-4</v>
      </c>
      <c r="K25" s="10">
        <f>I24*Table13[[#This Row],[one-year conditional mortality AT ISSUE]]</f>
        <v>4.6198594987525505E-4</v>
      </c>
      <c r="L25" s="3">
        <f t="shared" si="0"/>
        <v>2.4615991981893799E-3</v>
      </c>
      <c r="M25" s="44">
        <f>Table13[[#This Row],[Death benefit pay probability]]/Table13[[#This Row],[unconditional persistency AT ISSUE]]</f>
        <v>7.4242890090417705E-4</v>
      </c>
      <c r="N25" s="44">
        <f>Table13[[#This Row],[one-year conditional mortality AT ISSUE]]/Table13[[#This Row],[one-year conditional persistency AT ISSUE]]</f>
        <v>7.4242890090417705E-4</v>
      </c>
      <c r="O25" s="4">
        <f>(1+$B$14)^(Table13[[#This Row],[age since issue]]-$A$17)</f>
        <v>1.3168090369634029</v>
      </c>
      <c r="P25" s="5">
        <f>(Table13[[#This Row],[level premium unmarked-up]]*Table13[[#This Row],[unconditional persistency AT ISSUE]]-Table13[[#This Row],[Death benefit pay probability]])</f>
        <v>1.0697758692062799E-3</v>
      </c>
      <c r="Q25" s="4">
        <f>Table13[[#This Row],[Issuer profit with unmarked-up level premium]]/Table13[[#This Row],[Issuer discounter at issue]]</f>
        <v>8.1240015763653307E-4</v>
      </c>
      <c r="R25" s="4">
        <f>(Table13[[#This Row],[variable premium unmarked up]]*Table13[[#This Row],[unconditional persistency AT ISSUE]]-Table13[[#This Row],[Death benefit pay probability]])</f>
        <v>0</v>
      </c>
      <c r="S25" s="6">
        <f>Table13[[#This Row],[level premium unmarked-up]]*(1+$B$15)</f>
        <v>2.4615991981893799E-3</v>
      </c>
      <c r="T25" s="6">
        <f>MIN(Table13[[#This Row],[variable premium unmarked up]]*(1+$B$15),1)</f>
        <v>7.4242890090417705E-4</v>
      </c>
      <c r="U25" s="6">
        <f>Table13[[#This Row],[level premium marked up]]-Table13[[#This Row],[variable premium marked up]]</f>
        <v>1.7191702972852029E-3</v>
      </c>
      <c r="V25" s="6">
        <f>Table13[[#This Row],[additional cash]]+V24*(1+$D$2)</f>
        <v>1.6463004078064093E-2</v>
      </c>
      <c r="W25" s="12"/>
      <c r="X25" s="13"/>
      <c r="Y25" s="49"/>
      <c r="Z25" s="13"/>
      <c r="AA25" s="13"/>
      <c r="AB25" s="50"/>
      <c r="AC25" s="14"/>
      <c r="AD25" s="28"/>
      <c r="AE25" s="46"/>
      <c r="AF25" s="42"/>
      <c r="AG25" s="46"/>
      <c r="AH25" s="48"/>
      <c r="AI25" s="29"/>
      <c r="AJ25" s="29"/>
      <c r="AK25" s="57">
        <f>Table13[[#This Row],[level premium marked up]]*Table13[[#This Row],[unconditional survival NOW]]</f>
        <v>0</v>
      </c>
      <c r="AL25" s="62">
        <f>Table13[[#This Row],[cumulative debt until t]]*Table13[[#This Row],[Unconditional mortality NOW]]</f>
        <v>0</v>
      </c>
      <c r="AM25" s="47"/>
      <c r="AN25" s="58"/>
      <c r="AO25" s="47"/>
      <c r="AP25" s="46"/>
      <c r="AQ25" s="58"/>
      <c r="AR25" s="60"/>
      <c r="AS25" s="58"/>
    </row>
    <row r="26" spans="1:45" s="3" customFormat="1">
      <c r="A26" s="3">
        <v>30</v>
      </c>
      <c r="B26" s="8">
        <v>4.2000000000000003E-2</v>
      </c>
      <c r="C26" s="3">
        <v>0</v>
      </c>
      <c r="D26" s="12">
        <v>4.2000000000000003E-2</v>
      </c>
      <c r="E26" s="66">
        <v>7.2000000000000005E-4</v>
      </c>
      <c r="F26" s="13">
        <f>1-Table13[[#This Row],[one-year conditional mortality AT ISSUE]]</f>
        <v>0.99927999999999995</v>
      </c>
      <c r="G26" s="13">
        <f>PRODUCT(F$17:F26)</f>
        <v>0.9938667807367646</v>
      </c>
      <c r="H26" s="13">
        <f>Table13[[#This Row],[one-year conditional survival AT ISSUE]]*(1-Table13[[#This Row],[Lapse rate]])</f>
        <v>0.95731023999999987</v>
      </c>
      <c r="I26" s="13">
        <f>PRODUCT(H$17:H26)</f>
        <v>0.59569863190009342</v>
      </c>
      <c r="J26" s="13">
        <f>G25*Table13[[#This Row],[one-year conditional mortality AT ISSUE]]</f>
        <v>7.1609967389567547E-4</v>
      </c>
      <c r="K26" s="10">
        <f>I25*Table13[[#This Row],[one-year conditional mortality AT ISSUE]]</f>
        <v>4.480292772884863E-4</v>
      </c>
      <c r="L26" s="3">
        <f t="shared" si="0"/>
        <v>2.4615991981893799E-3</v>
      </c>
      <c r="M26" s="44">
        <f>Table13[[#This Row],[Death benefit pay probability]]/Table13[[#This Row],[unconditional persistency AT ISSUE]]</f>
        <v>7.521072792452321E-4</v>
      </c>
      <c r="N26" s="44">
        <f>Table13[[#This Row],[one-year conditional mortality AT ISSUE]]/Table13[[#This Row],[one-year conditional persistency AT ISSUE]]</f>
        <v>7.521072792452321E-4</v>
      </c>
      <c r="O26" s="4">
        <f>(1+$B$14)^(Table13[[#This Row],[age since issue]]-$A$17)</f>
        <v>1.3628973532571218</v>
      </c>
      <c r="P26" s="5">
        <f>(Table13[[#This Row],[level premium unmarked-up]]*Table13[[#This Row],[unconditional persistency AT ISSUE]]-Table13[[#This Row],[Death benefit pay probability]])</f>
        <v>1.0183419973592944E-3</v>
      </c>
      <c r="Q26" s="4">
        <f>Table13[[#This Row],[Issuer profit with unmarked-up level premium]]/Table13[[#This Row],[Issuer discounter at issue]]</f>
        <v>7.4718906374394859E-4</v>
      </c>
      <c r="R26" s="4">
        <f>(Table13[[#This Row],[variable premium unmarked up]]*Table13[[#This Row],[unconditional persistency AT ISSUE]]-Table13[[#This Row],[Death benefit pay probability]])</f>
        <v>0</v>
      </c>
      <c r="S26" s="6">
        <f>Table13[[#This Row],[level premium unmarked-up]]*(1+$B$15)</f>
        <v>2.4615991981893799E-3</v>
      </c>
      <c r="T26" s="6">
        <f>MIN(Table13[[#This Row],[variable premium unmarked up]]*(1+$B$15),1)</f>
        <v>7.521072792452321E-4</v>
      </c>
      <c r="U26" s="6">
        <f>Table13[[#This Row],[level premium marked up]]-Table13[[#This Row],[variable premium marked up]]</f>
        <v>1.7094919189441478E-3</v>
      </c>
      <c r="V26" s="6">
        <f>Table13[[#This Row],[additional cash]]+V25*(1+$D$2)</f>
        <v>1.8188959001086302E-2</v>
      </c>
      <c r="W26" s="12"/>
      <c r="X26" s="13"/>
      <c r="Y26" s="49"/>
      <c r="Z26" s="13"/>
      <c r="AA26" s="13"/>
      <c r="AB26" s="50"/>
      <c r="AC26" s="14"/>
      <c r="AD26" s="28"/>
      <c r="AE26" s="46"/>
      <c r="AF26" s="42"/>
      <c r="AG26" s="46"/>
      <c r="AH26" s="48"/>
      <c r="AI26" s="29"/>
      <c r="AJ26" s="29"/>
      <c r="AK26" s="57">
        <f>Table13[[#This Row],[level premium marked up]]*Table13[[#This Row],[unconditional survival NOW]]</f>
        <v>0</v>
      </c>
      <c r="AL26" s="62">
        <f>Table13[[#This Row],[cumulative debt until t]]*Table13[[#This Row],[Unconditional mortality NOW]]</f>
        <v>0</v>
      </c>
      <c r="AM26" s="47"/>
      <c r="AN26" s="58"/>
      <c r="AO26" s="47"/>
      <c r="AP26" s="46"/>
      <c r="AQ26" s="58"/>
      <c r="AR26" s="60"/>
      <c r="AS26" s="58"/>
    </row>
    <row r="27" spans="1:45" s="3" customFormat="1">
      <c r="A27" s="3">
        <v>31</v>
      </c>
      <c r="B27" s="8">
        <v>4.2000000000000003E-2</v>
      </c>
      <c r="C27" s="3">
        <v>0</v>
      </c>
      <c r="D27" s="12">
        <v>4.2000000000000003E-2</v>
      </c>
      <c r="E27" s="66">
        <v>7.2999999999999996E-4</v>
      </c>
      <c r="F27" s="13">
        <f>1-Table13[[#This Row],[one-year conditional mortality AT ISSUE]]</f>
        <v>0.99926999999999999</v>
      </c>
      <c r="G27" s="13">
        <f>PRODUCT(F$17:F27)</f>
        <v>0.99314125798682673</v>
      </c>
      <c r="H27" s="13">
        <f>Table13[[#This Row],[one-year conditional survival AT ISSUE]]*(1-Table13[[#This Row],[Lapse rate]])</f>
        <v>0.95730065999999991</v>
      </c>
      <c r="I27" s="13">
        <f>PRODUCT(H$17:H27)</f>
        <v>0.57026269347905645</v>
      </c>
      <c r="J27" s="13">
        <f>G26*Table13[[#This Row],[one-year conditional mortality AT ISSUE]]</f>
        <v>7.255227499378381E-4</v>
      </c>
      <c r="K27" s="10">
        <f>I26*Table13[[#This Row],[one-year conditional mortality AT ISSUE]]</f>
        <v>4.3486000128706818E-4</v>
      </c>
      <c r="L27" s="3">
        <f t="shared" si="0"/>
        <v>2.4615991981893799E-3</v>
      </c>
      <c r="M27" s="44">
        <f>Table13[[#This Row],[Death benefit pay probability]]/Table13[[#This Row],[unconditional persistency AT ISSUE]]</f>
        <v>7.6256084478203536E-4</v>
      </c>
      <c r="N27" s="44">
        <f>Table13[[#This Row],[one-year conditional mortality AT ISSUE]]/Table13[[#This Row],[one-year conditional persistency AT ISSUE]]</f>
        <v>7.6256084478203536E-4</v>
      </c>
      <c r="O27" s="4">
        <f>(1+$B$14)^(Table13[[#This Row],[age since issue]]-$A$17)</f>
        <v>1.410598760621121</v>
      </c>
      <c r="P27" s="5">
        <f>(Table13[[#This Row],[level premium unmarked-up]]*Table13[[#This Row],[unconditional persistency AT ISSUE]]-Table13[[#This Row],[Death benefit pay probability]])</f>
        <v>9.6889818773829338E-4</v>
      </c>
      <c r="Q27" s="4">
        <f>Table13[[#This Row],[Issuer profit with unmarked-up level premium]]/Table13[[#This Row],[Issuer discounter at issue]]</f>
        <v>6.8687015385697904E-4</v>
      </c>
      <c r="R27" s="4">
        <f>(Table13[[#This Row],[variable premium unmarked up]]*Table13[[#This Row],[unconditional persistency AT ISSUE]]-Table13[[#This Row],[Death benefit pay probability]])</f>
        <v>0</v>
      </c>
      <c r="S27" s="6">
        <f>Table13[[#This Row],[level premium unmarked-up]]*(1+$B$15)</f>
        <v>2.4615991981893799E-3</v>
      </c>
      <c r="T27" s="6">
        <f>MIN(Table13[[#This Row],[variable premium unmarked up]]*(1+$B$15),1)</f>
        <v>7.6256084478203536E-4</v>
      </c>
      <c r="U27" s="6">
        <f>Table13[[#This Row],[level premium marked up]]-Table13[[#This Row],[variable premium marked up]]</f>
        <v>1.6990383534073446E-3</v>
      </c>
      <c r="V27" s="6">
        <f>Table13[[#This Row],[additional cash]]+V26*(1+$D$2)</f>
        <v>1.9906186313494733E-2</v>
      </c>
      <c r="W27" s="12"/>
      <c r="X27" s="13"/>
      <c r="Y27" s="49"/>
      <c r="Z27" s="13"/>
      <c r="AA27" s="13"/>
      <c r="AB27" s="50"/>
      <c r="AC27" s="14"/>
      <c r="AD27" s="28"/>
      <c r="AE27" s="46"/>
      <c r="AF27" s="42"/>
      <c r="AG27" s="46"/>
      <c r="AH27" s="48"/>
      <c r="AI27" s="29"/>
      <c r="AJ27" s="29"/>
      <c r="AK27" s="57">
        <f>Table13[[#This Row],[level premium marked up]]*Table13[[#This Row],[unconditional survival NOW]]</f>
        <v>0</v>
      </c>
      <c r="AL27" s="62">
        <f>Table13[[#This Row],[cumulative debt until t]]*Table13[[#This Row],[Unconditional mortality NOW]]</f>
        <v>0</v>
      </c>
      <c r="AM27" s="47"/>
      <c r="AN27" s="58"/>
      <c r="AO27" s="47"/>
      <c r="AP27" s="46"/>
      <c r="AQ27" s="58"/>
      <c r="AR27" s="60"/>
      <c r="AS27" s="58"/>
    </row>
    <row r="28" spans="1:45" s="3" customFormat="1">
      <c r="A28" s="3">
        <v>32</v>
      </c>
      <c r="B28" s="8">
        <v>4.0999999999999898E-2</v>
      </c>
      <c r="C28" s="3">
        <v>0</v>
      </c>
      <c r="D28" s="12">
        <v>4.0999999999999898E-2</v>
      </c>
      <c r="E28" s="66">
        <v>7.5000000000000002E-4</v>
      </c>
      <c r="F28" s="13">
        <f>1-Table13[[#This Row],[one-year conditional mortality AT ISSUE]]</f>
        <v>0.99924999999999997</v>
      </c>
      <c r="G28" s="13">
        <f>PRODUCT(F$17:F28)</f>
        <v>0.99239640204333657</v>
      </c>
      <c r="H28" s="13">
        <f>Table13[[#This Row],[one-year conditional survival AT ISSUE]]*(1-Table13[[#This Row],[Lapse rate]])</f>
        <v>0.95828075000000001</v>
      </c>
      <c r="I28" s="13">
        <f>PRODUCT(H$17:H28)</f>
        <v>0.54647176160413036</v>
      </c>
      <c r="J28" s="13">
        <f>G27*Table13[[#This Row],[one-year conditional mortality AT ISSUE]]</f>
        <v>7.4485594349012001E-4</v>
      </c>
      <c r="K28" s="10">
        <f>I27*Table13[[#This Row],[one-year conditional mortality AT ISSUE]]</f>
        <v>4.2769702010929232E-4</v>
      </c>
      <c r="L28" s="3">
        <f t="shared" si="0"/>
        <v>2.4615991981893799E-3</v>
      </c>
      <c r="M28" s="44">
        <f>Table13[[#This Row],[Death benefit pay probability]]/Table13[[#This Row],[unconditional persistency AT ISSUE]]</f>
        <v>7.8265163940734476E-4</v>
      </c>
      <c r="N28" s="44">
        <f>Table13[[#This Row],[one-year conditional mortality AT ISSUE]]/Table13[[#This Row],[one-year conditional persistency AT ISSUE]]</f>
        <v>7.8265163940734487E-4</v>
      </c>
      <c r="O28" s="4">
        <f>(1+$B$14)^(Table13[[#This Row],[age since issue]]-$A$17)</f>
        <v>1.4599697172428603</v>
      </c>
      <c r="P28" s="5">
        <f>(Table13[[#This Row],[level premium unmarked-up]]*Table13[[#This Row],[unconditional persistency AT ISSUE]]-Table13[[#This Row],[Death benefit pay probability]])</f>
        <v>9.174974300885728E-4</v>
      </c>
      <c r="Q28" s="4">
        <f>Table13[[#This Row],[Issuer profit with unmarked-up level premium]]/Table13[[#This Row],[Issuer discounter at issue]]</f>
        <v>6.2843593209676869E-4</v>
      </c>
      <c r="R28" s="4">
        <f>(Table13[[#This Row],[variable premium unmarked up]]*Table13[[#This Row],[unconditional persistency AT ISSUE]]-Table13[[#This Row],[Death benefit pay probability]])</f>
        <v>0</v>
      </c>
      <c r="S28" s="6">
        <f>Table13[[#This Row],[level premium unmarked-up]]*(1+$B$15)</f>
        <v>2.4615991981893799E-3</v>
      </c>
      <c r="T28" s="6">
        <f>MIN(Table13[[#This Row],[variable premium unmarked up]]*(1+$B$15),1)</f>
        <v>7.8265163940734476E-4</v>
      </c>
      <c r="U28" s="6">
        <f>Table13[[#This Row],[level premium marked up]]-Table13[[#This Row],[variable premium marked up]]</f>
        <v>1.678947558782035E-3</v>
      </c>
      <c r="V28" s="6">
        <f>Table13[[#This Row],[additional cash]]+V27*(1+$D$2)</f>
        <v>2.160504005859026E-2</v>
      </c>
      <c r="W28" s="12"/>
      <c r="X28" s="13"/>
      <c r="Y28" s="49"/>
      <c r="Z28" s="13"/>
      <c r="AA28" s="13"/>
      <c r="AB28" s="50"/>
      <c r="AC28" s="14"/>
      <c r="AD28" s="28"/>
      <c r="AE28" s="46"/>
      <c r="AF28" s="42"/>
      <c r="AG28" s="46"/>
      <c r="AH28" s="48"/>
      <c r="AI28" s="29"/>
      <c r="AJ28" s="29"/>
      <c r="AK28" s="57">
        <f>Table13[[#This Row],[level premium marked up]]*Table13[[#This Row],[unconditional survival NOW]]</f>
        <v>0</v>
      </c>
      <c r="AL28" s="62">
        <f>Table13[[#This Row],[cumulative debt until t]]*Table13[[#This Row],[Unconditional mortality NOW]]</f>
        <v>0</v>
      </c>
      <c r="AM28" s="47"/>
      <c r="AN28" s="58"/>
      <c r="AO28" s="47"/>
      <c r="AP28" s="46"/>
      <c r="AQ28" s="58"/>
      <c r="AR28" s="60"/>
      <c r="AS28" s="58"/>
    </row>
    <row r="29" spans="1:45" s="3" customFormat="1">
      <c r="A29" s="3">
        <v>33</v>
      </c>
      <c r="B29" s="8">
        <v>4.0999999999999898E-2</v>
      </c>
      <c r="C29" s="3">
        <v>0</v>
      </c>
      <c r="D29" s="12">
        <v>4.0999999999999898E-2</v>
      </c>
      <c r="E29" s="66">
        <v>7.7999999999999999E-4</v>
      </c>
      <c r="F29" s="13">
        <f>1-Table13[[#This Row],[one-year conditional mortality AT ISSUE]]</f>
        <v>0.99922</v>
      </c>
      <c r="G29" s="13">
        <f>PRODUCT(F$17:F29)</f>
        <v>0.99162233284974277</v>
      </c>
      <c r="H29" s="13">
        <f>Table13[[#This Row],[one-year conditional survival AT ISSUE]]*(1-Table13[[#This Row],[Lapse rate]])</f>
        <v>0.95825198000000011</v>
      </c>
      <c r="I29" s="13">
        <f>PRODUCT(H$17:H29)</f>
        <v>0.523657647571246</v>
      </c>
      <c r="J29" s="13">
        <f>G28*Table13[[#This Row],[one-year conditional mortality AT ISSUE]]</f>
        <v>7.7406919359380251E-4</v>
      </c>
      <c r="K29" s="10">
        <f>I28*Table13[[#This Row],[one-year conditional mortality AT ISSUE]]</f>
        <v>4.2624797405122167E-4</v>
      </c>
      <c r="L29" s="3">
        <f t="shared" si="0"/>
        <v>2.4615991981893799E-3</v>
      </c>
      <c r="M29" s="44">
        <f>Table13[[#This Row],[Death benefit pay probability]]/Table13[[#This Row],[unconditional persistency AT ISSUE]]</f>
        <v>8.1398214277626627E-4</v>
      </c>
      <c r="N29" s="44">
        <f>Table13[[#This Row],[one-year conditional mortality AT ISSUE]]/Table13[[#This Row],[one-year conditional persistency AT ISSUE]]</f>
        <v>8.1398214277626627E-4</v>
      </c>
      <c r="O29" s="4">
        <f>(1+$B$14)^(Table13[[#This Row],[age since issue]]-$A$17)</f>
        <v>1.5110686573463603</v>
      </c>
      <c r="P29" s="5">
        <f>(Table13[[#This Row],[level premium unmarked-up]]*Table13[[#This Row],[unconditional persistency AT ISSUE]]-Table13[[#This Row],[Death benefit pay probability]])</f>
        <v>8.6278727133589435E-4</v>
      </c>
      <c r="Q29" s="4">
        <f>Table13[[#This Row],[Issuer profit with unmarked-up level premium]]/Table13[[#This Row],[Issuer discounter at issue]]</f>
        <v>5.7097820614654589E-4</v>
      </c>
      <c r="R29" s="4">
        <f>(Table13[[#This Row],[variable premium unmarked up]]*Table13[[#This Row],[unconditional persistency AT ISSUE]]-Table13[[#This Row],[Death benefit pay probability]])</f>
        <v>0</v>
      </c>
      <c r="S29" s="6">
        <f>Table13[[#This Row],[level premium unmarked-up]]*(1+$B$15)</f>
        <v>2.4615991981893799E-3</v>
      </c>
      <c r="T29" s="6">
        <f>MIN(Table13[[#This Row],[variable premium unmarked up]]*(1+$B$15),1)</f>
        <v>8.1398214277626627E-4</v>
      </c>
      <c r="U29" s="6">
        <f>Table13[[#This Row],[level premium marked up]]-Table13[[#This Row],[variable premium marked up]]</f>
        <v>1.6476170554131136E-3</v>
      </c>
      <c r="V29" s="6">
        <f>Table13[[#This Row],[additional cash]]+V28*(1+$D$2)</f>
        <v>2.3274262154061962E-2</v>
      </c>
      <c r="W29" s="12"/>
      <c r="X29" s="13"/>
      <c r="Y29" s="49"/>
      <c r="Z29" s="13"/>
      <c r="AA29" s="13"/>
      <c r="AB29" s="50"/>
      <c r="AC29" s="14"/>
      <c r="AD29" s="28"/>
      <c r="AE29" s="46"/>
      <c r="AF29" s="42"/>
      <c r="AG29" s="46"/>
      <c r="AH29" s="48"/>
      <c r="AI29" s="29"/>
      <c r="AJ29" s="29"/>
      <c r="AK29" s="57">
        <f>Table13[[#This Row],[level premium marked up]]*Table13[[#This Row],[unconditional survival NOW]]</f>
        <v>0</v>
      </c>
      <c r="AL29" s="62">
        <f>Table13[[#This Row],[cumulative debt until t]]*Table13[[#This Row],[Unconditional mortality NOW]]</f>
        <v>0</v>
      </c>
      <c r="AM29" s="47"/>
      <c r="AN29" s="58"/>
      <c r="AO29" s="47"/>
      <c r="AP29" s="46"/>
      <c r="AQ29" s="58"/>
      <c r="AR29" s="60"/>
      <c r="AS29" s="58"/>
    </row>
    <row r="30" spans="1:45" s="3" customFormat="1">
      <c r="A30" s="3">
        <v>34</v>
      </c>
      <c r="B30" s="8">
        <v>0.04</v>
      </c>
      <c r="C30" s="3">
        <v>0</v>
      </c>
      <c r="D30" s="12">
        <v>0.04</v>
      </c>
      <c r="E30" s="66">
        <v>8.1999999999999998E-4</v>
      </c>
      <c r="F30" s="13">
        <f>1-Table13[[#This Row],[one-year conditional mortality AT ISSUE]]</f>
        <v>0.99917999999999996</v>
      </c>
      <c r="G30" s="13">
        <f>PRODUCT(F$17:F30)</f>
        <v>0.99080920253680593</v>
      </c>
      <c r="H30" s="13">
        <f>Table13[[#This Row],[one-year conditional survival AT ISSUE]]*(1-Table13[[#This Row],[Lapse rate]])</f>
        <v>0.95921279999999998</v>
      </c>
      <c r="I30" s="13">
        <f>PRODUCT(H$17:H30)</f>
        <v>0.50229911836822805</v>
      </c>
      <c r="J30" s="13">
        <f>G29*Table13[[#This Row],[one-year conditional mortality AT ISSUE]]</f>
        <v>8.1313031293678902E-4</v>
      </c>
      <c r="K30" s="10">
        <f>I29*Table13[[#This Row],[one-year conditional mortality AT ISSUE]]</f>
        <v>4.2939927100842172E-4</v>
      </c>
      <c r="L30" s="3">
        <f t="shared" si="0"/>
        <v>2.4615991981893799E-3</v>
      </c>
      <c r="M30" s="44">
        <f>Table13[[#This Row],[Death benefit pay probability]]/Table13[[#This Row],[unconditional persistency AT ISSUE]]</f>
        <v>8.5486765814634671E-4</v>
      </c>
      <c r="N30" s="44">
        <f>Table13[[#This Row],[one-year conditional mortality AT ISSUE]]/Table13[[#This Row],[one-year conditional persistency AT ISSUE]]</f>
        <v>8.5486765814634671E-4</v>
      </c>
      <c r="O30" s="4">
        <f>(1+$B$14)^(Table13[[#This Row],[age since issue]]-$A$17)</f>
        <v>1.5639560603534826</v>
      </c>
      <c r="P30" s="5">
        <f>(Table13[[#This Row],[level premium unmarked-up]]*Table13[[#This Row],[unconditional persistency AT ISSUE]]-Table13[[#This Row],[Death benefit pay probability]])</f>
        <v>8.0705983601804098E-4</v>
      </c>
      <c r="Q30" s="4">
        <f>Table13[[#This Row],[Issuer profit with unmarked-up level premium]]/Table13[[#This Row],[Issuer discounter at issue]]</f>
        <v>5.1603741081807043E-4</v>
      </c>
      <c r="R30" s="4">
        <f>(Table13[[#This Row],[variable premium unmarked up]]*Table13[[#This Row],[unconditional persistency AT ISSUE]]-Table13[[#This Row],[Death benefit pay probability]])</f>
        <v>0</v>
      </c>
      <c r="S30" s="6">
        <f>Table13[[#This Row],[level premium unmarked-up]]*(1+$B$15)</f>
        <v>2.4615991981893799E-3</v>
      </c>
      <c r="T30" s="6">
        <f>MIN(Table13[[#This Row],[variable premium unmarked up]]*(1+$B$15),1)</f>
        <v>8.5486765814634671E-4</v>
      </c>
      <c r="U30" s="6">
        <f>Table13[[#This Row],[level premium marked up]]-Table13[[#This Row],[variable premium marked up]]</f>
        <v>1.6067315400430332E-3</v>
      </c>
      <c r="V30" s="6">
        <f>Table13[[#This Row],[additional cash]]+V29*(1+$D$2)</f>
        <v>2.4904267956259055E-2</v>
      </c>
      <c r="W30" s="12"/>
      <c r="X30" s="13"/>
      <c r="Y30" s="49"/>
      <c r="Z30" s="13"/>
      <c r="AA30" s="13"/>
      <c r="AB30" s="50"/>
      <c r="AC30" s="14"/>
      <c r="AD30" s="28"/>
      <c r="AE30" s="46"/>
      <c r="AF30" s="42"/>
      <c r="AG30" s="46"/>
      <c r="AH30" s="48"/>
      <c r="AI30" s="29"/>
      <c r="AJ30" s="29"/>
      <c r="AK30" s="57">
        <f>Table13[[#This Row],[level premium marked up]]*Table13[[#This Row],[unconditional survival NOW]]</f>
        <v>0</v>
      </c>
      <c r="AL30" s="62">
        <f>Table13[[#This Row],[cumulative debt until t]]*Table13[[#This Row],[Unconditional mortality NOW]]</f>
        <v>0</v>
      </c>
      <c r="AM30" s="47"/>
      <c r="AN30" s="58"/>
      <c r="AO30" s="47"/>
      <c r="AP30" s="46"/>
      <c r="AQ30" s="58"/>
      <c r="AR30" s="60"/>
      <c r="AS30" s="58"/>
    </row>
    <row r="31" spans="1:45" s="3" customFormat="1">
      <c r="A31" s="3">
        <v>35</v>
      </c>
      <c r="B31" s="8">
        <v>0.04</v>
      </c>
      <c r="C31" s="3">
        <v>0</v>
      </c>
      <c r="D31" s="12">
        <v>0.04</v>
      </c>
      <c r="E31" s="66">
        <v>8.8000000000000003E-4</v>
      </c>
      <c r="F31" s="13">
        <f>1-Table13[[#This Row],[one-year conditional mortality AT ISSUE]]</f>
        <v>0.99912000000000001</v>
      </c>
      <c r="G31" s="13">
        <f>PRODUCT(F$17:F31)</f>
        <v>0.98993729043857359</v>
      </c>
      <c r="H31" s="13">
        <f>Table13[[#This Row],[one-year conditional survival AT ISSUE]]*(1-Table13[[#This Row],[Lapse rate]])</f>
        <v>0.95915519999999999</v>
      </c>
      <c r="I31" s="13">
        <f>PRODUCT(H$17:H31)</f>
        <v>0.48178281133830142</v>
      </c>
      <c r="J31" s="13">
        <f>G30*Table13[[#This Row],[one-year conditional mortality AT ISSUE]]</f>
        <v>8.7191209823238921E-4</v>
      </c>
      <c r="K31" s="10">
        <f>I30*Table13[[#This Row],[one-year conditional mortality AT ISSUE]]</f>
        <v>4.4202322416404068E-4</v>
      </c>
      <c r="L31" s="3">
        <f t="shared" si="0"/>
        <v>2.4615991981893799E-3</v>
      </c>
      <c r="M31" s="44">
        <f>Table13[[#This Row],[Death benefit pay probability]]/Table13[[#This Row],[unconditional persistency AT ISSUE]]</f>
        <v>9.1747404382523288E-4</v>
      </c>
      <c r="N31" s="44">
        <f>Table13[[#This Row],[one-year conditional mortality AT ISSUE]]/Table13[[#This Row],[one-year conditional persistency AT ISSUE]]</f>
        <v>9.1747404382523288E-4</v>
      </c>
      <c r="O31" s="4">
        <f>(1+$B$14)^(Table13[[#This Row],[age since issue]]-$A$17)</f>
        <v>1.6186945224658547</v>
      </c>
      <c r="P31" s="5">
        <f>(Table13[[#This Row],[level premium unmarked-up]]*Table13[[#This Row],[unconditional persistency AT ISSUE]]-Table13[[#This Row],[Death benefit pay probability]])</f>
        <v>7.4393295792774732E-4</v>
      </c>
      <c r="Q31" s="4">
        <f>Table13[[#This Row],[Issuer profit with unmarked-up level premium]]/Table13[[#This Row],[Issuer discounter at issue]]</f>
        <v>4.5958823459442459E-4</v>
      </c>
      <c r="R31" s="4">
        <f>(Table13[[#This Row],[variable premium unmarked up]]*Table13[[#This Row],[unconditional persistency AT ISSUE]]-Table13[[#This Row],[Death benefit pay probability]])</f>
        <v>0</v>
      </c>
      <c r="S31" s="6">
        <f>Table13[[#This Row],[level premium unmarked-up]]*(1+$B$15)</f>
        <v>2.4615991981893799E-3</v>
      </c>
      <c r="T31" s="6">
        <f>MIN(Table13[[#This Row],[variable premium unmarked up]]*(1+$B$15),1)</f>
        <v>9.1747404382523288E-4</v>
      </c>
      <c r="U31" s="6">
        <f>Table13[[#This Row],[level premium marked up]]-Table13[[#This Row],[variable premium marked up]]</f>
        <v>1.544125154364147E-3</v>
      </c>
      <c r="V31" s="6">
        <f>Table13[[#This Row],[additional cash]]+V30*(1+$D$2)</f>
        <v>2.6473297378579459E-2</v>
      </c>
      <c r="W31" s="12"/>
      <c r="X31" s="13"/>
      <c r="Y31" s="49"/>
      <c r="Z31" s="13"/>
      <c r="AA31" s="13"/>
      <c r="AB31" s="50"/>
      <c r="AC31" s="14"/>
      <c r="AD31" s="28"/>
      <c r="AE31" s="46"/>
      <c r="AF31" s="42"/>
      <c r="AG31" s="46"/>
      <c r="AH31" s="48"/>
      <c r="AI31" s="29"/>
      <c r="AJ31" s="29"/>
      <c r="AK31" s="57">
        <f>Table13[[#This Row],[level premium marked up]]*Table13[[#This Row],[unconditional survival NOW]]</f>
        <v>0</v>
      </c>
      <c r="AL31" s="62">
        <f>Table13[[#This Row],[cumulative debt until t]]*Table13[[#This Row],[Unconditional mortality NOW]]</f>
        <v>0</v>
      </c>
      <c r="AM31" s="47"/>
      <c r="AN31" s="58"/>
      <c r="AO31" s="47"/>
      <c r="AP31" s="46"/>
      <c r="AQ31" s="58"/>
      <c r="AR31" s="60"/>
      <c r="AS31" s="58"/>
    </row>
    <row r="32" spans="1:45" s="3" customFormat="1">
      <c r="A32" s="3">
        <v>36</v>
      </c>
      <c r="B32" s="8">
        <v>4.0999999999999898E-2</v>
      </c>
      <c r="C32" s="3">
        <v>0</v>
      </c>
      <c r="D32" s="12">
        <v>4.0999999999999898E-2</v>
      </c>
      <c r="E32" s="66">
        <v>9.6000000000000002E-4</v>
      </c>
      <c r="F32" s="13">
        <f>1-Table13[[#This Row],[one-year conditional mortality AT ISSUE]]</f>
        <v>0.99904000000000004</v>
      </c>
      <c r="G32" s="13">
        <f>PRODUCT(F$17:F32)</f>
        <v>0.98898695063975262</v>
      </c>
      <c r="H32" s="13">
        <f>Table13[[#This Row],[one-year conditional survival AT ISSUE]]*(1-Table13[[#This Row],[Lapse rate]])</f>
        <v>0.95807936000000016</v>
      </c>
      <c r="I32" s="13">
        <f>PRODUCT(H$17:H32)</f>
        <v>0.46158616754600063</v>
      </c>
      <c r="J32" s="13">
        <f>G31*Table13[[#This Row],[one-year conditional mortality AT ISSUE]]</f>
        <v>9.5033979882103072E-4</v>
      </c>
      <c r="K32" s="10">
        <f>I31*Table13[[#This Row],[one-year conditional mortality AT ISSUE]]</f>
        <v>4.6251149888476936E-4</v>
      </c>
      <c r="L32" s="3">
        <f t="shared" si="0"/>
        <v>2.4615991981893799E-3</v>
      </c>
      <c r="M32" s="44">
        <f>Table13[[#This Row],[Death benefit pay probability]]/Table13[[#This Row],[unconditional persistency AT ISSUE]]</f>
        <v>1.0020046773578338E-3</v>
      </c>
      <c r="N32" s="44">
        <f>Table13[[#This Row],[one-year conditional mortality AT ISSUE]]/Table13[[#This Row],[one-year conditional persistency AT ISSUE]]</f>
        <v>1.0020046773578338E-3</v>
      </c>
      <c r="O32" s="4">
        <f>(1+$B$14)^(Table13[[#This Row],[age since issue]]-$A$17)</f>
        <v>1.6753488307521593</v>
      </c>
      <c r="P32" s="5">
        <f>(Table13[[#This Row],[level premium unmarked-up]]*Table13[[#This Row],[unconditional persistency AT ISSUE]]-Table13[[#This Row],[Death benefit pay probability]])</f>
        <v>6.7372864104177452E-4</v>
      </c>
      <c r="Q32" s="4">
        <f>Table13[[#This Row],[Issuer profit with unmarked-up level premium]]/Table13[[#This Row],[Issuer discounter at issue]]</f>
        <v>4.0214230533667394E-4</v>
      </c>
      <c r="R32" s="4">
        <f>(Table13[[#This Row],[variable premium unmarked up]]*Table13[[#This Row],[unconditional persistency AT ISSUE]]-Table13[[#This Row],[Death benefit pay probability]])</f>
        <v>0</v>
      </c>
      <c r="S32" s="6">
        <f>Table13[[#This Row],[level premium unmarked-up]]*(1+$B$15)</f>
        <v>2.4615991981893799E-3</v>
      </c>
      <c r="T32" s="6">
        <f>MIN(Table13[[#This Row],[variable premium unmarked up]]*(1+$B$15),1)</f>
        <v>1.0020046773578338E-3</v>
      </c>
      <c r="U32" s="6">
        <f>Table13[[#This Row],[level premium marked up]]-Table13[[#This Row],[variable premium marked up]]</f>
        <v>1.4595945208315461E-3</v>
      </c>
      <c r="V32" s="6">
        <f>Table13[[#This Row],[additional cash]]+V31*(1+$D$2)</f>
        <v>2.7959365196789581E-2</v>
      </c>
      <c r="W32" s="12"/>
      <c r="X32" s="13"/>
      <c r="Y32" s="49"/>
      <c r="Z32" s="13"/>
      <c r="AA32" s="13"/>
      <c r="AB32" s="50"/>
      <c r="AC32" s="14"/>
      <c r="AD32" s="28"/>
      <c r="AE32" s="46"/>
      <c r="AF32" s="42"/>
      <c r="AG32" s="46"/>
      <c r="AH32" s="48"/>
      <c r="AI32" s="29"/>
      <c r="AJ32" s="29"/>
      <c r="AK32" s="57">
        <f>Table13[[#This Row],[level premium marked up]]*Table13[[#This Row],[unconditional survival NOW]]</f>
        <v>0</v>
      </c>
      <c r="AL32" s="62">
        <f>Table13[[#This Row],[cumulative debt until t]]*Table13[[#This Row],[Unconditional mortality NOW]]</f>
        <v>0</v>
      </c>
      <c r="AM32" s="47"/>
      <c r="AN32" s="58"/>
      <c r="AO32" s="47"/>
      <c r="AP32" s="46"/>
      <c r="AQ32" s="58"/>
      <c r="AR32" s="60"/>
      <c r="AS32" s="58"/>
    </row>
    <row r="33" spans="1:45" s="3" customFormat="1">
      <c r="A33" s="3">
        <v>37</v>
      </c>
      <c r="B33" s="8">
        <v>4.2999999999999997E-2</v>
      </c>
      <c r="C33" s="3">
        <v>0</v>
      </c>
      <c r="D33" s="12">
        <v>4.2999999999999997E-2</v>
      </c>
      <c r="E33" s="66">
        <v>1.0399999999999999E-3</v>
      </c>
      <c r="F33" s="13">
        <f>1-Table13[[#This Row],[one-year conditional mortality AT ISSUE]]</f>
        <v>0.99895999999999996</v>
      </c>
      <c r="G33" s="13">
        <f>PRODUCT(F$17:F33)</f>
        <v>0.98795840421108727</v>
      </c>
      <c r="H33" s="13">
        <f>Table13[[#This Row],[one-year conditional survival AT ISSUE]]*(1-Table13[[#This Row],[Lapse rate]])</f>
        <v>0.95600471999999992</v>
      </c>
      <c r="I33" s="13">
        <f>PRODUCT(H$17:H33)</f>
        <v>0.4412785548606874</v>
      </c>
      <c r="J33" s="13">
        <f>G32*Table13[[#This Row],[one-year conditional mortality AT ISSUE]]</f>
        <v>1.0285464286653426E-3</v>
      </c>
      <c r="K33" s="10">
        <f>I32*Table13[[#This Row],[one-year conditional mortality AT ISSUE]]</f>
        <v>4.800496142478406E-4</v>
      </c>
      <c r="L33" s="3">
        <f t="shared" si="0"/>
        <v>2.4615991981893799E-3</v>
      </c>
      <c r="M33" s="44">
        <f>Table13[[#This Row],[Death benefit pay probability]]/Table13[[#This Row],[unconditional persistency AT ISSUE]]</f>
        <v>1.0878607377587004E-3</v>
      </c>
      <c r="N33" s="44">
        <f>Table13[[#This Row],[one-year conditional mortality AT ISSUE]]/Table13[[#This Row],[one-year conditional persistency AT ISSUE]]</f>
        <v>1.0878607377587007E-3</v>
      </c>
      <c r="O33" s="4">
        <f>(1+$B$14)^(Table13[[#This Row],[age since issue]]-$A$17)</f>
        <v>1.7339860398284845</v>
      </c>
      <c r="P33" s="5">
        <f>(Table13[[#This Row],[level premium unmarked-up]]*Table13[[#This Row],[unconditional persistency AT ISSUE]]-Table13[[#This Row],[Death benefit pay probability]])</f>
        <v>6.0620132257539576E-4</v>
      </c>
      <c r="Q33" s="4">
        <f>Table13[[#This Row],[Issuer profit with unmarked-up level premium]]/Table13[[#This Row],[Issuer discounter at issue]]</f>
        <v>3.495998864185536E-4</v>
      </c>
      <c r="R33" s="4">
        <f>(Table13[[#This Row],[variable premium unmarked up]]*Table13[[#This Row],[unconditional persistency AT ISSUE]]-Table13[[#This Row],[Death benefit pay probability]])</f>
        <v>-5.4210108624275222E-20</v>
      </c>
      <c r="S33" s="6">
        <f>Table13[[#This Row],[level premium unmarked-up]]*(1+$B$15)</f>
        <v>2.4615991981893799E-3</v>
      </c>
      <c r="T33" s="6">
        <f>MIN(Table13[[#This Row],[variable premium unmarked up]]*(1+$B$15),1)</f>
        <v>1.0878607377587004E-3</v>
      </c>
      <c r="U33" s="6">
        <f>Table13[[#This Row],[level premium marked up]]-Table13[[#This Row],[variable premium marked up]]</f>
        <v>1.3737384604306795E-3</v>
      </c>
      <c r="V33" s="6">
        <f>Table13[[#This Row],[additional cash]]+V32*(1+$D$2)</f>
        <v>2.9361063022417047E-2</v>
      </c>
      <c r="W33" s="12"/>
      <c r="X33" s="13"/>
      <c r="Y33" s="49"/>
      <c r="Z33" s="13"/>
      <c r="AA33" s="13"/>
      <c r="AB33" s="50"/>
      <c r="AC33" s="14"/>
      <c r="AD33" s="28"/>
      <c r="AE33" s="46"/>
      <c r="AF33" s="42"/>
      <c r="AG33" s="46"/>
      <c r="AH33" s="48"/>
      <c r="AI33" s="29"/>
      <c r="AJ33" s="29"/>
      <c r="AK33" s="57">
        <f>Table13[[#This Row],[level premium marked up]]*Table13[[#This Row],[unconditional survival NOW]]</f>
        <v>0</v>
      </c>
      <c r="AL33" s="62">
        <f>Table13[[#This Row],[cumulative debt until t]]*Table13[[#This Row],[Unconditional mortality NOW]]</f>
        <v>0</v>
      </c>
      <c r="AM33" s="47"/>
      <c r="AN33" s="58"/>
      <c r="AO33" s="47"/>
      <c r="AP33" s="46"/>
      <c r="AQ33" s="58"/>
      <c r="AR33" s="60"/>
      <c r="AS33" s="58"/>
    </row>
    <row r="34" spans="1:45" s="3" customFormat="1">
      <c r="A34" s="3">
        <v>38</v>
      </c>
      <c r="B34" s="8">
        <v>4.2999999999999997E-2</v>
      </c>
      <c r="C34" s="3">
        <v>0</v>
      </c>
      <c r="D34" s="12">
        <v>4.2999999999999997E-2</v>
      </c>
      <c r="E34" s="66">
        <v>1.09E-3</v>
      </c>
      <c r="F34" s="13">
        <f>1-Table13[[#This Row],[one-year conditional mortality AT ISSUE]]</f>
        <v>0.99890999999999996</v>
      </c>
      <c r="G34" s="13">
        <f>PRODUCT(F$17:F34)</f>
        <v>0.98688152955049713</v>
      </c>
      <c r="H34" s="13">
        <f>Table13[[#This Row],[one-year conditional survival AT ISSUE]]*(1-Table13[[#This Row],[Lapse rate]])</f>
        <v>0.95595686999999996</v>
      </c>
      <c r="I34" s="13">
        <f>PRODUCT(H$17:H34)</f>
        <v>0.42184326610274597</v>
      </c>
      <c r="J34" s="13">
        <f>G33*Table13[[#This Row],[one-year conditional mortality AT ISSUE]]</f>
        <v>1.0768746605900853E-3</v>
      </c>
      <c r="K34" s="10">
        <f>I33*Table13[[#This Row],[one-year conditional mortality AT ISSUE]]</f>
        <v>4.8099362479814929E-4</v>
      </c>
      <c r="L34" s="3">
        <f t="shared" si="0"/>
        <v>2.4615991981893799E-3</v>
      </c>
      <c r="M34" s="44">
        <f>Table13[[#This Row],[Death benefit pay probability]]/Table13[[#This Row],[unconditional persistency AT ISSUE]]</f>
        <v>1.1402188050596888E-3</v>
      </c>
      <c r="N34" s="44">
        <f>Table13[[#This Row],[one-year conditional mortality AT ISSUE]]/Table13[[#This Row],[one-year conditional persistency AT ISSUE]]</f>
        <v>1.1402188050596885E-3</v>
      </c>
      <c r="O34" s="4">
        <f>(1+$B$14)^(Table13[[#This Row],[age since issue]]-$A$17)</f>
        <v>1.7946755512224815</v>
      </c>
      <c r="P34" s="5">
        <f>(Table13[[#This Row],[level premium unmarked-up]]*Table13[[#This Row],[unconditional persistency AT ISSUE]]-Table13[[#This Row],[Death benefit pay probability]])</f>
        <v>5.5741542080195937E-4</v>
      </c>
      <c r="Q34" s="4">
        <f>Table13[[#This Row],[Issuer profit with unmarked-up level premium]]/Table13[[#This Row],[Issuer discounter at issue]]</f>
        <v>3.1059397918596708E-4</v>
      </c>
      <c r="R34" s="4">
        <f>(Table13[[#This Row],[variable premium unmarked up]]*Table13[[#This Row],[unconditional persistency AT ISSUE]]-Table13[[#This Row],[Death benefit pay probability]])</f>
        <v>5.4210108624275222E-20</v>
      </c>
      <c r="S34" s="6">
        <f>Table13[[#This Row],[level premium unmarked-up]]*(1+$B$15)</f>
        <v>2.4615991981893799E-3</v>
      </c>
      <c r="T34" s="6">
        <f>MIN(Table13[[#This Row],[variable premium unmarked up]]*(1+$B$15),1)</f>
        <v>1.1402188050596888E-3</v>
      </c>
      <c r="U34" s="6">
        <f>Table13[[#This Row],[level premium marked up]]-Table13[[#This Row],[variable premium marked up]]</f>
        <v>1.3213803931296912E-3</v>
      </c>
      <c r="V34" s="6">
        <f>Table13[[#This Row],[additional cash]]+V33*(1+$D$2)</f>
        <v>3.0711804478569152E-2</v>
      </c>
      <c r="W34" s="12"/>
      <c r="X34" s="13"/>
      <c r="Y34" s="49"/>
      <c r="Z34" s="13"/>
      <c r="AA34" s="13"/>
      <c r="AB34" s="50"/>
      <c r="AC34" s="14"/>
      <c r="AD34" s="28"/>
      <c r="AE34" s="46"/>
      <c r="AF34" s="42"/>
      <c r="AG34" s="46"/>
      <c r="AH34" s="48"/>
      <c r="AI34" s="29"/>
      <c r="AJ34" s="29"/>
      <c r="AK34" s="57">
        <f>Table13[[#This Row],[level premium marked up]]*Table13[[#This Row],[unconditional survival NOW]]</f>
        <v>0</v>
      </c>
      <c r="AL34" s="62">
        <f>Table13[[#This Row],[cumulative debt until t]]*Table13[[#This Row],[Unconditional mortality NOW]]</f>
        <v>0</v>
      </c>
      <c r="AM34" s="47"/>
      <c r="AN34" s="58"/>
      <c r="AO34" s="47"/>
      <c r="AP34" s="46"/>
      <c r="AQ34" s="58"/>
      <c r="AR34" s="60"/>
      <c r="AS34" s="58"/>
    </row>
    <row r="35" spans="1:45" s="3" customFormat="1">
      <c r="A35" s="3">
        <v>39</v>
      </c>
      <c r="B35" s="8">
        <v>4.2999999999999997E-2</v>
      </c>
      <c r="C35" s="3">
        <v>0</v>
      </c>
      <c r="D35" s="12">
        <v>4.2999999999999997E-2</v>
      </c>
      <c r="E35" s="66">
        <v>1.17E-3</v>
      </c>
      <c r="F35" s="13">
        <f>1-Table13[[#This Row],[one-year conditional mortality AT ISSUE]]</f>
        <v>0.99883</v>
      </c>
      <c r="G35" s="13">
        <f>PRODUCT(F$17:F35)</f>
        <v>0.98572687816092308</v>
      </c>
      <c r="H35" s="13">
        <f>Table13[[#This Row],[one-year conditional survival AT ISSUE]]*(1-Table13[[#This Row],[Lapse rate]])</f>
        <v>0.95588030999999996</v>
      </c>
      <c r="I35" s="13">
        <f>PRODUCT(H$17:H35)</f>
        <v>0.4032316719737053</v>
      </c>
      <c r="J35" s="13">
        <f>G34*Table13[[#This Row],[one-year conditional mortality AT ISSUE]]</f>
        <v>1.1546513895740816E-3</v>
      </c>
      <c r="K35" s="10">
        <f>I34*Table13[[#This Row],[one-year conditional mortality AT ISSUE]]</f>
        <v>4.9355662134021282E-4</v>
      </c>
      <c r="L35" s="3">
        <f t="shared" si="0"/>
        <v>2.4615991981893799E-3</v>
      </c>
      <c r="M35" s="44">
        <f>Table13[[#This Row],[Death benefit pay probability]]/Table13[[#This Row],[unconditional persistency AT ISSUE]]</f>
        <v>1.2240026159760526E-3</v>
      </c>
      <c r="N35" s="44">
        <f>Table13[[#This Row],[one-year conditional mortality AT ISSUE]]/Table13[[#This Row],[one-year conditional persistency AT ISSUE]]</f>
        <v>1.2240026159760526E-3</v>
      </c>
      <c r="O35" s="4">
        <f>(1+$B$14)^(Table13[[#This Row],[age since issue]]-$A$17)</f>
        <v>1.8574891955152681</v>
      </c>
      <c r="P35" s="5">
        <f>(Table13[[#This Row],[level premium unmarked-up]]*Table13[[#This Row],[unconditional persistency AT ISSUE]]-Table13[[#This Row],[Death benefit pay probability]])</f>
        <v>4.990381390748231E-4</v>
      </c>
      <c r="Q35" s="4">
        <f>Table13[[#This Row],[Issuer profit with unmarked-up level premium]]/Table13[[#This Row],[Issuer discounter at issue]]</f>
        <v>2.6866274123139096E-4</v>
      </c>
      <c r="R35" s="4">
        <f>(Table13[[#This Row],[variable premium unmarked up]]*Table13[[#This Row],[unconditional persistency AT ISSUE]]-Table13[[#This Row],[Death benefit pay probability]])</f>
        <v>0</v>
      </c>
      <c r="S35" s="6">
        <f>Table13[[#This Row],[level premium unmarked-up]]*(1+$B$15)</f>
        <v>2.4615991981893799E-3</v>
      </c>
      <c r="T35" s="6">
        <f>MIN(Table13[[#This Row],[variable premium unmarked up]]*(1+$B$15),1)</f>
        <v>1.2240026159760526E-3</v>
      </c>
      <c r="U35" s="6">
        <f>Table13[[#This Row],[level premium marked up]]-Table13[[#This Row],[variable premium marked up]]</f>
        <v>1.2375965822133273E-3</v>
      </c>
      <c r="V35" s="6">
        <f>Table13[[#This Row],[additional cash]]+V34*(1+$D$2)</f>
        <v>3.1980112865261048E-2</v>
      </c>
      <c r="W35" s="12"/>
      <c r="X35" s="13"/>
      <c r="Y35" s="49"/>
      <c r="Z35" s="13"/>
      <c r="AA35" s="13"/>
      <c r="AB35" s="50"/>
      <c r="AC35" s="14"/>
      <c r="AD35" s="28"/>
      <c r="AE35" s="46"/>
      <c r="AF35" s="42"/>
      <c r="AG35" s="46"/>
      <c r="AH35" s="48"/>
      <c r="AI35" s="29"/>
      <c r="AJ35" s="29"/>
      <c r="AK35" s="57">
        <f>Table13[[#This Row],[level premium marked up]]*Table13[[#This Row],[unconditional survival NOW]]</f>
        <v>0</v>
      </c>
      <c r="AL35" s="62">
        <f>Table13[[#This Row],[cumulative debt until t]]*Table13[[#This Row],[Unconditional mortality NOW]]</f>
        <v>0</v>
      </c>
      <c r="AM35" s="47"/>
      <c r="AN35" s="58"/>
      <c r="AO35" s="47"/>
      <c r="AP35" s="46"/>
      <c r="AQ35" s="58"/>
      <c r="AR35" s="60"/>
      <c r="AS35" s="58"/>
    </row>
    <row r="36" spans="1:45" s="3" customFormat="1">
      <c r="A36" s="3">
        <v>40</v>
      </c>
      <c r="B36" s="8">
        <v>4.5999999999999999E-2</v>
      </c>
      <c r="C36" s="3">
        <v>0</v>
      </c>
      <c r="D36" s="12">
        <v>4.5999999999999999E-2</v>
      </c>
      <c r="E36" s="66">
        <v>1.25E-3</v>
      </c>
      <c r="F36" s="13">
        <f>1-Table13[[#This Row],[one-year conditional mortality AT ISSUE]]</f>
        <v>0.99875000000000003</v>
      </c>
      <c r="G36" s="13">
        <f>PRODUCT(F$17:F36)</f>
        <v>0.98449471956322199</v>
      </c>
      <c r="H36" s="13">
        <f>Table13[[#This Row],[one-year conditional survival AT ISSUE]]*(1-Table13[[#This Row],[Lapse rate]])</f>
        <v>0.95280750000000003</v>
      </c>
      <c r="I36" s="13">
        <f>PRODUCT(H$17:H36)</f>
        <v>0.38420216129408624</v>
      </c>
      <c r="J36" s="13">
        <f>G35*Table13[[#This Row],[one-year conditional mortality AT ISSUE]]</f>
        <v>1.2321585977011539E-3</v>
      </c>
      <c r="K36" s="10">
        <f>I35*Table13[[#This Row],[one-year conditional mortality AT ISSUE]]</f>
        <v>5.0403958996713164E-4</v>
      </c>
      <c r="L36" s="3">
        <f t="shared" si="0"/>
        <v>2.4615991981893799E-3</v>
      </c>
      <c r="M36" s="44">
        <f>Table13[[#This Row],[Death benefit pay probability]]/Table13[[#This Row],[unconditional persistency AT ISSUE]]</f>
        <v>1.3119124272216582E-3</v>
      </c>
      <c r="N36" s="44">
        <f>Table13[[#This Row],[one-year conditional mortality AT ISSUE]]/Table13[[#This Row],[one-year conditional persistency AT ISSUE]]</f>
        <v>1.3119124272216582E-3</v>
      </c>
      <c r="O36" s="4">
        <f>(1+$B$14)^(Table13[[#This Row],[age since issue]]-$A$17)</f>
        <v>1.9225013173583023</v>
      </c>
      <c r="P36" s="5">
        <f>(Table13[[#This Row],[level premium unmarked-up]]*Table13[[#This Row],[unconditional persistency AT ISSUE]]-Table13[[#This Row],[Death benefit pay probability]])</f>
        <v>4.4171214221701781E-4</v>
      </c>
      <c r="Q36" s="4">
        <f>Table13[[#This Row],[Issuer profit with unmarked-up level premium]]/Table13[[#This Row],[Issuer discounter at issue]]</f>
        <v>2.2975908428711603E-4</v>
      </c>
      <c r="R36" s="4">
        <f>(Table13[[#This Row],[variable premium unmarked up]]*Table13[[#This Row],[unconditional persistency AT ISSUE]]-Table13[[#This Row],[Death benefit pay probability]])</f>
        <v>0</v>
      </c>
      <c r="S36" s="6">
        <f>Table13[[#This Row],[level premium unmarked-up]]*(1+$B$15)</f>
        <v>2.4615991981893799E-3</v>
      </c>
      <c r="T36" s="6">
        <f>MIN(Table13[[#This Row],[variable premium unmarked up]]*(1+$B$15),1)</f>
        <v>1.3119124272216582E-3</v>
      </c>
      <c r="U36" s="6">
        <f>Table13[[#This Row],[level premium marked up]]-Table13[[#This Row],[variable premium marked up]]</f>
        <v>1.1496867709677218E-3</v>
      </c>
      <c r="V36" s="6">
        <f>Table13[[#This Row],[additional cash]]+V35*(1+$D$2)</f>
        <v>3.3161779749094032E-2</v>
      </c>
      <c r="W36" s="12"/>
      <c r="X36" s="13"/>
      <c r="Y36" s="49"/>
      <c r="Z36" s="13"/>
      <c r="AA36" s="13"/>
      <c r="AB36" s="50"/>
      <c r="AC36" s="14"/>
      <c r="AD36" s="28"/>
      <c r="AE36" s="46"/>
      <c r="AF36" s="42"/>
      <c r="AG36" s="46"/>
      <c r="AH36" s="48"/>
      <c r="AI36" s="29"/>
      <c r="AJ36" s="29"/>
      <c r="AK36" s="57">
        <f>Table13[[#This Row],[level premium marked up]]*Table13[[#This Row],[unconditional survival NOW]]</f>
        <v>0</v>
      </c>
      <c r="AL36" s="62">
        <f>Table13[[#This Row],[cumulative debt until t]]*Table13[[#This Row],[Unconditional mortality NOW]]</f>
        <v>0</v>
      </c>
      <c r="AM36" s="47"/>
      <c r="AN36" s="58"/>
      <c r="AO36" s="47"/>
      <c r="AP36" s="46"/>
      <c r="AQ36" s="58"/>
      <c r="AR36" s="60"/>
      <c r="AS36" s="58"/>
    </row>
    <row r="37" spans="1:45" s="3" customFormat="1">
      <c r="A37" s="3">
        <v>41</v>
      </c>
      <c r="B37" s="8">
        <v>4.4999999999999998E-2</v>
      </c>
      <c r="C37" s="3">
        <v>0</v>
      </c>
      <c r="D37" s="12">
        <v>4.4999999999999998E-2</v>
      </c>
      <c r="E37" s="66">
        <v>1.34E-3</v>
      </c>
      <c r="F37" s="13">
        <f>1-Table13[[#This Row],[one-year conditional mortality AT ISSUE]]</f>
        <v>0.99865999999999999</v>
      </c>
      <c r="G37" s="13">
        <f>PRODUCT(F$17:F37)</f>
        <v>0.98317549663900727</v>
      </c>
      <c r="H37" s="13">
        <f>Table13[[#This Row],[one-year conditional survival AT ISSUE]]*(1-Table13[[#This Row],[Lapse rate]])</f>
        <v>0.95372029999999997</v>
      </c>
      <c r="I37" s="13">
        <f>PRODUCT(H$17:H37)</f>
        <v>0.36642140053004429</v>
      </c>
      <c r="J37" s="13">
        <f>G36*Table13[[#This Row],[one-year conditional mortality AT ISSUE]]</f>
        <v>1.3192229242147174E-3</v>
      </c>
      <c r="K37" s="10">
        <f>I36*Table13[[#This Row],[one-year conditional mortality AT ISSUE]]</f>
        <v>5.1483089613407556E-4</v>
      </c>
      <c r="L37" s="3">
        <f t="shared" si="0"/>
        <v>2.4615991981893799E-3</v>
      </c>
      <c r="M37" s="44">
        <f>Table13[[#This Row],[Death benefit pay probability]]/Table13[[#This Row],[unconditional persistency AT ISSUE]]</f>
        <v>1.4050240935418908E-3</v>
      </c>
      <c r="N37" s="44">
        <f>Table13[[#This Row],[one-year conditional mortality AT ISSUE]]/Table13[[#This Row],[one-year conditional persistency AT ISSUE]]</f>
        <v>1.4050240935418908E-3</v>
      </c>
      <c r="O37" s="4">
        <f>(1+$B$14)^(Table13[[#This Row],[age since issue]]-$A$17)</f>
        <v>1.9897888634658427</v>
      </c>
      <c r="P37" s="5">
        <f>(Table13[[#This Row],[level premium unmarked-up]]*Table13[[#This Row],[unconditional persistency AT ISSUE]]-Table13[[#This Row],[Death benefit pay probability]])</f>
        <v>3.8715172961011112E-4</v>
      </c>
      <c r="Q37" s="4">
        <f>Table13[[#This Row],[Issuer profit with unmarked-up level premium]]/Table13[[#This Row],[Issuer discounter at issue]]</f>
        <v>1.9456925140075651E-4</v>
      </c>
      <c r="R37" s="4">
        <f>(Table13[[#This Row],[variable premium unmarked up]]*Table13[[#This Row],[unconditional persistency AT ISSUE]]-Table13[[#This Row],[Death benefit pay probability]])</f>
        <v>0</v>
      </c>
      <c r="S37" s="6">
        <f>Table13[[#This Row],[level premium unmarked-up]]*(1+$B$15)</f>
        <v>2.4615991981893799E-3</v>
      </c>
      <c r="T37" s="6">
        <f>MIN(Table13[[#This Row],[variable premium unmarked up]]*(1+$B$15),1)</f>
        <v>1.4050240935418908E-3</v>
      </c>
      <c r="U37" s="6">
        <f>Table13[[#This Row],[level premium marked up]]-Table13[[#This Row],[variable premium marked up]]</f>
        <v>1.0565751046474892E-3</v>
      </c>
      <c r="V37" s="6">
        <f>Table13[[#This Row],[additional cash]]+V36*(1+$D$2)</f>
        <v>3.425151663349061E-2</v>
      </c>
      <c r="W37" s="12"/>
      <c r="X37" s="13"/>
      <c r="Y37" s="49"/>
      <c r="Z37" s="13"/>
      <c r="AA37" s="13"/>
      <c r="AB37" s="50"/>
      <c r="AC37" s="14"/>
      <c r="AD37" s="28"/>
      <c r="AE37" s="46"/>
      <c r="AF37" s="42"/>
      <c r="AG37" s="46"/>
      <c r="AH37" s="48"/>
      <c r="AI37" s="29"/>
      <c r="AJ37" s="29"/>
      <c r="AK37" s="57">
        <f>Table13[[#This Row],[level premium marked up]]*Table13[[#This Row],[unconditional survival NOW]]</f>
        <v>0</v>
      </c>
      <c r="AL37" s="62">
        <f>Table13[[#This Row],[cumulative debt until t]]*Table13[[#This Row],[Unconditional mortality NOW]]</f>
        <v>0</v>
      </c>
      <c r="AM37" s="47"/>
      <c r="AN37" s="58"/>
      <c r="AO37" s="47"/>
      <c r="AP37" s="46"/>
      <c r="AQ37" s="58"/>
      <c r="AR37" s="60"/>
      <c r="AS37" s="58"/>
    </row>
    <row r="38" spans="1:45" s="3" customFormat="1">
      <c r="A38" s="3">
        <v>42</v>
      </c>
      <c r="B38" s="8">
        <v>4.9000000000000002E-2</v>
      </c>
      <c r="C38" s="3">
        <v>0</v>
      </c>
      <c r="D38" s="12">
        <v>4.9000000000000002E-2</v>
      </c>
      <c r="E38" s="66">
        <v>1.4599999999999999E-3</v>
      </c>
      <c r="F38" s="13">
        <f>1-Table13[[#This Row],[one-year conditional mortality AT ISSUE]]</f>
        <v>0.99853999999999998</v>
      </c>
      <c r="G38" s="13">
        <f>PRODUCT(F$17:F38)</f>
        <v>0.98174006041391426</v>
      </c>
      <c r="H38" s="13">
        <f>Table13[[#This Row],[one-year conditional survival AT ISSUE]]*(1-Table13[[#This Row],[Lapse rate]])</f>
        <v>0.94961153999999992</v>
      </c>
      <c r="I38" s="13">
        <f>PRODUCT(H$17:H38)</f>
        <v>0.34795799044629216</v>
      </c>
      <c r="J38" s="13">
        <f>G37*Table13[[#This Row],[one-year conditional mortality AT ISSUE]]</f>
        <v>1.4354362250929506E-3</v>
      </c>
      <c r="K38" s="10">
        <f>I37*Table13[[#This Row],[one-year conditional mortality AT ISSUE]]</f>
        <v>5.3497524477386462E-4</v>
      </c>
      <c r="L38" s="3">
        <f t="shared" si="0"/>
        <v>2.4615991981893799E-3</v>
      </c>
      <c r="M38" s="44">
        <f>Table13[[#This Row],[Death benefit pay probability]]/Table13[[#This Row],[unconditional persistency AT ISSUE]]</f>
        <v>1.537470785159161E-3</v>
      </c>
      <c r="N38" s="44">
        <f>Table13[[#This Row],[one-year conditional mortality AT ISSUE]]/Table13[[#This Row],[one-year conditional persistency AT ISSUE]]</f>
        <v>1.537470785159161E-3</v>
      </c>
      <c r="O38" s="4">
        <f>(1+$B$14)^(Table13[[#This Row],[age since issue]]-$A$17)</f>
        <v>2.0594314736871469</v>
      </c>
      <c r="P38" s="5">
        <f>(Table13[[#This Row],[level premium unmarked-up]]*Table13[[#This Row],[unconditional persistency AT ISSUE]]-Table13[[#This Row],[Death benefit pay probability]])</f>
        <v>3.215578655123161E-4</v>
      </c>
      <c r="Q38" s="4">
        <f>Table13[[#This Row],[Issuer profit with unmarked-up level premium]]/Table13[[#This Row],[Issuer discounter at issue]]</f>
        <v>1.5613914306971728E-4</v>
      </c>
      <c r="R38" s="4">
        <f>(Table13[[#This Row],[variable premium unmarked up]]*Table13[[#This Row],[unconditional persistency AT ISSUE]]-Table13[[#This Row],[Death benefit pay probability]])</f>
        <v>0</v>
      </c>
      <c r="S38" s="6">
        <f>Table13[[#This Row],[level premium unmarked-up]]*(1+$B$15)</f>
        <v>2.4615991981893799E-3</v>
      </c>
      <c r="T38" s="6">
        <f>MIN(Table13[[#This Row],[variable premium unmarked up]]*(1+$B$15),1)</f>
        <v>1.537470785159161E-3</v>
      </c>
      <c r="U38" s="6">
        <f>Table13[[#This Row],[level premium marked up]]-Table13[[#This Row],[variable premium marked up]]</f>
        <v>9.2412841303021894E-4</v>
      </c>
      <c r="V38" s="6">
        <f>Table13[[#This Row],[additional cash]]+V37*(1+$D$2)</f>
        <v>3.5209896563154312E-2</v>
      </c>
      <c r="W38" s="12"/>
      <c r="X38" s="13"/>
      <c r="Y38" s="49"/>
      <c r="Z38" s="13"/>
      <c r="AA38" s="13"/>
      <c r="AB38" s="50"/>
      <c r="AC38" s="14"/>
      <c r="AD38" s="28"/>
      <c r="AE38" s="46"/>
      <c r="AF38" s="42"/>
      <c r="AG38" s="46"/>
      <c r="AH38" s="48"/>
      <c r="AI38" s="29"/>
      <c r="AJ38" s="29"/>
      <c r="AK38" s="57">
        <f>Table13[[#This Row],[level premium marked up]]*Table13[[#This Row],[unconditional survival NOW]]</f>
        <v>0</v>
      </c>
      <c r="AL38" s="62">
        <f>Table13[[#This Row],[cumulative debt until t]]*Table13[[#This Row],[Unconditional mortality NOW]]</f>
        <v>0</v>
      </c>
      <c r="AM38" s="47"/>
      <c r="AN38" s="58"/>
      <c r="AO38" s="47"/>
      <c r="AP38" s="46"/>
      <c r="AQ38" s="58"/>
      <c r="AR38" s="60"/>
      <c r="AS38" s="58"/>
    </row>
    <row r="39" spans="1:45" s="3" customFormat="1">
      <c r="A39" s="3">
        <v>43</v>
      </c>
      <c r="B39" s="8">
        <v>4.7E-2</v>
      </c>
      <c r="C39" s="3">
        <v>0</v>
      </c>
      <c r="D39" s="12">
        <v>4.7E-2</v>
      </c>
      <c r="E39" s="66">
        <v>1.6100000000000001E-3</v>
      </c>
      <c r="F39" s="13">
        <f>1-Table13[[#This Row],[one-year conditional mortality AT ISSUE]]</f>
        <v>0.99839</v>
      </c>
      <c r="G39" s="13">
        <f>PRODUCT(F$17:F39)</f>
        <v>0.98015945891664791</v>
      </c>
      <c r="H39" s="13">
        <f>Table13[[#This Row],[one-year conditional survival AT ISSUE]]*(1-Table13[[#This Row],[Lapse rate]])</f>
        <v>0.95146566999999993</v>
      </c>
      <c r="I39" s="13">
        <f>PRODUCT(H$17:H39)</f>
        <v>0.33107008251183495</v>
      </c>
      <c r="J39" s="13">
        <f>G38*Table13[[#This Row],[one-year conditional mortality AT ISSUE]]</f>
        <v>1.5806014972664022E-3</v>
      </c>
      <c r="K39" s="10">
        <f>I38*Table13[[#This Row],[one-year conditional mortality AT ISSUE]]</f>
        <v>5.6021236461853039E-4</v>
      </c>
      <c r="L39" s="3">
        <f t="shared" si="0"/>
        <v>2.4615991981893799E-3</v>
      </c>
      <c r="M39" s="44">
        <f>Table13[[#This Row],[Death benefit pay probability]]/Table13[[#This Row],[unconditional persistency AT ISSUE]]</f>
        <v>1.6921262119735756E-3</v>
      </c>
      <c r="N39" s="44">
        <f>Table13[[#This Row],[one-year conditional mortality AT ISSUE]]/Table13[[#This Row],[one-year conditional persistency AT ISSUE]]</f>
        <v>1.6921262119735756E-3</v>
      </c>
      <c r="O39" s="4">
        <f>(1+$B$14)^(Table13[[#This Row],[age since issue]]-$A$17)</f>
        <v>2.1315115752661971</v>
      </c>
      <c r="P39" s="5">
        <f>(Table13[[#This Row],[level premium unmarked-up]]*Table13[[#This Row],[unconditional persistency AT ISSUE]]-Table13[[#This Row],[Death benefit pay probability]])</f>
        <v>2.5474948503709433E-4</v>
      </c>
      <c r="Q39" s="4">
        <f>Table13[[#This Row],[Issuer profit with unmarked-up level premium]]/Table13[[#This Row],[Issuer discounter at issue]]</f>
        <v>1.1951588158993674E-4</v>
      </c>
      <c r="R39" s="4">
        <f>(Table13[[#This Row],[variable premium unmarked up]]*Table13[[#This Row],[unconditional persistency AT ISSUE]]-Table13[[#This Row],[Death benefit pay probability]])</f>
        <v>0</v>
      </c>
      <c r="S39" s="6">
        <f>Table13[[#This Row],[level premium unmarked-up]]*(1+$B$15)</f>
        <v>2.4615991981893799E-3</v>
      </c>
      <c r="T39" s="6">
        <f>MIN(Table13[[#This Row],[variable premium unmarked up]]*(1+$B$15),1)</f>
        <v>1.6921262119735756E-3</v>
      </c>
      <c r="U39" s="6">
        <f>Table13[[#This Row],[level premium marked up]]-Table13[[#This Row],[variable premium marked up]]</f>
        <v>7.6947298621580433E-4</v>
      </c>
      <c r="V39" s="6">
        <f>Table13[[#This Row],[additional cash]]+V38*(1+$D$2)</f>
        <v>3.6014579445933267E-2</v>
      </c>
      <c r="W39" s="12"/>
      <c r="X39" s="13"/>
      <c r="Y39" s="49"/>
      <c r="Z39" s="13"/>
      <c r="AA39" s="13"/>
      <c r="AB39" s="50"/>
      <c r="AC39" s="14"/>
      <c r="AD39" s="28"/>
      <c r="AE39" s="46"/>
      <c r="AF39" s="42"/>
      <c r="AG39" s="46"/>
      <c r="AH39" s="48"/>
      <c r="AI39" s="29"/>
      <c r="AJ39" s="29"/>
      <c r="AK39" s="57">
        <f>Table13[[#This Row],[level premium marked up]]*Table13[[#This Row],[unconditional survival NOW]]</f>
        <v>0</v>
      </c>
      <c r="AL39" s="62">
        <f>Table13[[#This Row],[cumulative debt until t]]*Table13[[#This Row],[Unconditional mortality NOW]]</f>
        <v>0</v>
      </c>
      <c r="AM39" s="47"/>
      <c r="AN39" s="58"/>
      <c r="AO39" s="47"/>
      <c r="AP39" s="46"/>
      <c r="AQ39" s="58"/>
      <c r="AR39" s="60"/>
      <c r="AS39" s="58"/>
    </row>
    <row r="40" spans="1:45" s="3" customFormat="1">
      <c r="A40" s="3">
        <v>44</v>
      </c>
      <c r="B40" s="8">
        <v>4.4999999999999998E-2</v>
      </c>
      <c r="C40" s="3">
        <v>0</v>
      </c>
      <c r="D40" s="12">
        <v>4.4999999999999998E-2</v>
      </c>
      <c r="E40" s="66">
        <v>1.7799999999999999E-3</v>
      </c>
      <c r="F40" s="13">
        <f>1-Table13[[#This Row],[one-year conditional mortality AT ISSUE]]</f>
        <v>0.99822</v>
      </c>
      <c r="G40" s="13">
        <f>PRODUCT(F$17:F40)</f>
        <v>0.97841477507977626</v>
      </c>
      <c r="H40" s="13">
        <f>Table13[[#This Row],[one-year conditional survival AT ISSUE]]*(1-Table13[[#This Row],[Lapse rate]])</f>
        <v>0.95330009999999998</v>
      </c>
      <c r="I40" s="13">
        <f>PRODUCT(H$17:H40)</f>
        <v>0.31560914276554053</v>
      </c>
      <c r="J40" s="13">
        <f>G39*Table13[[#This Row],[one-year conditional mortality AT ISSUE]]</f>
        <v>1.7446838368716331E-3</v>
      </c>
      <c r="K40" s="10">
        <f>I39*Table13[[#This Row],[one-year conditional mortality AT ISSUE]]</f>
        <v>5.8930474687106621E-4</v>
      </c>
      <c r="L40" s="3">
        <f t="shared" si="0"/>
        <v>2.4615991981893799E-3</v>
      </c>
      <c r="M40" s="44">
        <f>Table13[[#This Row],[Death benefit pay probability]]/Table13[[#This Row],[unconditional persistency AT ISSUE]]</f>
        <v>1.8671979579148266E-3</v>
      </c>
      <c r="N40" s="44">
        <f>Table13[[#This Row],[one-year conditional mortality AT ISSUE]]/Table13[[#This Row],[one-year conditional persistency AT ISSUE]]</f>
        <v>1.8671979579148266E-3</v>
      </c>
      <c r="O40" s="4">
        <f>(1+$B$14)^(Table13[[#This Row],[age since issue]]-$A$17)</f>
        <v>2.2061144804005139</v>
      </c>
      <c r="P40" s="5">
        <f>(Table13[[#This Row],[level premium unmarked-up]]*Table13[[#This Row],[unconditional persistency AT ISSUE]]-Table13[[#This Row],[Death benefit pay probability]])</f>
        <v>1.8759846590182588E-4</v>
      </c>
      <c r="Q40" s="4">
        <f>Table13[[#This Row],[Issuer profit with unmarked-up level premium]]/Table13[[#This Row],[Issuer discounter at issue]]</f>
        <v>8.5035689475084679E-5</v>
      </c>
      <c r="R40" s="4">
        <f>(Table13[[#This Row],[variable premium unmarked up]]*Table13[[#This Row],[unconditional persistency AT ISSUE]]-Table13[[#This Row],[Death benefit pay probability]])</f>
        <v>0</v>
      </c>
      <c r="S40" s="6">
        <f>Table13[[#This Row],[level premium unmarked-up]]*(1+$B$15)</f>
        <v>2.4615991981893799E-3</v>
      </c>
      <c r="T40" s="6">
        <f>MIN(Table13[[#This Row],[variable premium unmarked up]]*(1+$B$15),1)</f>
        <v>1.8671979579148266E-3</v>
      </c>
      <c r="U40" s="6">
        <f>Table13[[#This Row],[level premium marked up]]-Table13[[#This Row],[variable premium marked up]]</f>
        <v>5.9440124027455334E-4</v>
      </c>
      <c r="V40" s="6">
        <f>Table13[[#This Row],[additional cash]]+V39*(1+$D$2)</f>
        <v>3.6644995265653749E-2</v>
      </c>
      <c r="W40" s="12"/>
      <c r="X40" s="13"/>
      <c r="Y40" s="49"/>
      <c r="Z40" s="13"/>
      <c r="AA40" s="13"/>
      <c r="AB40" s="50"/>
      <c r="AC40" s="14"/>
      <c r="AD40" s="28"/>
      <c r="AE40" s="46"/>
      <c r="AF40" s="42"/>
      <c r="AG40" s="46"/>
      <c r="AH40" s="48"/>
      <c r="AI40" s="29"/>
      <c r="AJ40" s="29"/>
      <c r="AK40" s="57">
        <f>Table13[[#This Row],[level premium marked up]]*Table13[[#This Row],[unconditional survival NOW]]</f>
        <v>0</v>
      </c>
      <c r="AL40" s="62">
        <f>Table13[[#This Row],[cumulative debt until t]]*Table13[[#This Row],[Unconditional mortality NOW]]</f>
        <v>0</v>
      </c>
      <c r="AM40" s="47"/>
      <c r="AN40" s="58"/>
      <c r="AO40" s="47"/>
      <c r="AP40" s="46"/>
      <c r="AQ40" s="58"/>
      <c r="AR40" s="60"/>
      <c r="AS40" s="58"/>
    </row>
    <row r="41" spans="1:45" s="3" customFormat="1">
      <c r="A41" s="3">
        <v>45</v>
      </c>
      <c r="B41" s="8">
        <v>4.4999999999999998E-2</v>
      </c>
      <c r="C41" s="3">
        <v>0</v>
      </c>
      <c r="D41" s="12">
        <v>4.4999999999999998E-2</v>
      </c>
      <c r="E41" s="66">
        <v>1.99E-3</v>
      </c>
      <c r="F41" s="13">
        <f>1-Table13[[#This Row],[one-year conditional mortality AT ISSUE]]</f>
        <v>0.99800999999999995</v>
      </c>
      <c r="G41" s="13">
        <f>PRODUCT(F$17:F41)</f>
        <v>0.9764677296773675</v>
      </c>
      <c r="H41" s="13">
        <f>Table13[[#This Row],[one-year conditional survival AT ISSUE]]*(1-Table13[[#This Row],[Lapse rate]])</f>
        <v>0.95309954999999991</v>
      </c>
      <c r="I41" s="13">
        <f>PRODUCT(H$17:H41)</f>
        <v>0.30080693194572239</v>
      </c>
      <c r="J41" s="13">
        <f>G40*Table13[[#This Row],[one-year conditional mortality AT ISSUE]]</f>
        <v>1.9470454024087549E-3</v>
      </c>
      <c r="K41" s="10">
        <f>I40*Table13[[#This Row],[one-year conditional mortality AT ISSUE]]</f>
        <v>6.2806219410342569E-4</v>
      </c>
      <c r="L41" s="3">
        <f t="shared" si="0"/>
        <v>2.4615991981893799E-3</v>
      </c>
      <c r="M41" s="44">
        <f>Table13[[#This Row],[Death benefit pay probability]]/Table13[[#This Row],[unconditional persistency AT ISSUE]]</f>
        <v>2.0879246034687569E-3</v>
      </c>
      <c r="N41" s="44">
        <f>Table13[[#This Row],[one-year conditional mortality AT ISSUE]]/Table13[[#This Row],[one-year conditional persistency AT ISSUE]]</f>
        <v>2.0879246034687564E-3</v>
      </c>
      <c r="O41" s="4">
        <f>(1+$B$14)^(Table13[[#This Row],[age since issue]]-$A$17)</f>
        <v>2.2833284872145314</v>
      </c>
      <c r="P41" s="5">
        <f>(Table13[[#This Row],[level premium unmarked-up]]*Table13[[#This Row],[unconditional persistency AT ISSUE]]-Table13[[#This Row],[Death benefit pay probability]])</f>
        <v>1.1240390838397195E-4</v>
      </c>
      <c r="Q41" s="4">
        <f>Table13[[#This Row],[Issuer profit with unmarked-up level premium]]/Table13[[#This Row],[Issuer discounter at issue]]</f>
        <v>4.922809355437739E-5</v>
      </c>
      <c r="R41" s="4">
        <f>(Table13[[#This Row],[variable premium unmarked up]]*Table13[[#This Row],[unconditional persistency AT ISSUE]]-Table13[[#This Row],[Death benefit pay probability]])</f>
        <v>0</v>
      </c>
      <c r="S41" s="6">
        <f>Table13[[#This Row],[level premium unmarked-up]]*(1+$B$15)</f>
        <v>2.4615991981893799E-3</v>
      </c>
      <c r="T41" s="6">
        <f>MIN(Table13[[#This Row],[variable premium unmarked up]]*(1+$B$15),1)</f>
        <v>2.0879246034687569E-3</v>
      </c>
      <c r="U41" s="6">
        <f>Table13[[#This Row],[level premium marked up]]-Table13[[#This Row],[variable premium marked up]]</f>
        <v>3.7367459472062306E-4</v>
      </c>
      <c r="V41" s="6">
        <f>Table13[[#This Row],[additional cash]]+V40*(1+$D$2)</f>
        <v>3.7055314855640023E-2</v>
      </c>
      <c r="W41" s="12"/>
      <c r="X41" s="13"/>
      <c r="Y41" s="49"/>
      <c r="Z41" s="13"/>
      <c r="AA41" s="13"/>
      <c r="AB41" s="50"/>
      <c r="AC41" s="14"/>
      <c r="AD41" s="28"/>
      <c r="AE41" s="46"/>
      <c r="AF41" s="42"/>
      <c r="AG41" s="46"/>
      <c r="AH41" s="48"/>
      <c r="AI41" s="29"/>
      <c r="AJ41" s="29"/>
      <c r="AK41" s="57">
        <f>Table13[[#This Row],[level premium marked up]]*Table13[[#This Row],[unconditional survival NOW]]</f>
        <v>0</v>
      </c>
      <c r="AL41" s="62">
        <f>Table13[[#This Row],[cumulative debt until t]]*Table13[[#This Row],[Unconditional mortality NOW]]</f>
        <v>0</v>
      </c>
      <c r="AM41" s="47"/>
      <c r="AN41" s="58"/>
      <c r="AO41" s="47"/>
      <c r="AP41" s="46"/>
      <c r="AQ41" s="58"/>
      <c r="AR41" s="60"/>
      <c r="AS41" s="58"/>
    </row>
    <row r="42" spans="1:45" s="3" customFormat="1">
      <c r="A42" s="3">
        <v>46</v>
      </c>
      <c r="B42" s="8">
        <v>4.3999999999999997E-2</v>
      </c>
      <c r="C42" s="3">
        <v>0</v>
      </c>
      <c r="D42" s="12">
        <v>4.3999999999999997E-2</v>
      </c>
      <c r="E42" s="66">
        <v>2.2200000000000002E-3</v>
      </c>
      <c r="F42" s="13">
        <f>1-Table13[[#This Row],[one-year conditional mortality AT ISSUE]]</f>
        <v>0.99778</v>
      </c>
      <c r="G42" s="13">
        <f>PRODUCT(F$17:F42)</f>
        <v>0.97429997131748369</v>
      </c>
      <c r="H42" s="13">
        <f>Table13[[#This Row],[one-year conditional survival AT ISSUE]]*(1-Table13[[#This Row],[Lapse rate]])</f>
        <v>0.95387767999999995</v>
      </c>
      <c r="I42" s="13">
        <f>PRODUCT(H$17:H42)</f>
        <v>0.28693301837230356</v>
      </c>
      <c r="J42" s="13">
        <f>G41*Table13[[#This Row],[one-year conditional mortality AT ISSUE]]</f>
        <v>2.1677583598837561E-3</v>
      </c>
      <c r="K42" s="10">
        <f>I41*Table13[[#This Row],[one-year conditional mortality AT ISSUE]]</f>
        <v>6.6779138891950374E-4</v>
      </c>
      <c r="L42" s="3">
        <f t="shared" si="0"/>
        <v>2.4615991981893799E-3</v>
      </c>
      <c r="M42" s="44">
        <f>Table13[[#This Row],[Death benefit pay probability]]/Table13[[#This Row],[unconditional persistency AT ISSUE]]</f>
        <v>2.3273424324175402E-3</v>
      </c>
      <c r="N42" s="44">
        <f>Table13[[#This Row],[one-year conditional mortality AT ISSUE]]/Table13[[#This Row],[one-year conditional persistency AT ISSUE]]</f>
        <v>2.3273424324175406E-3</v>
      </c>
      <c r="O42" s="4">
        <f>(1+$B$14)^(Table13[[#This Row],[age since issue]]-$A$17)</f>
        <v>2.3632449842670398</v>
      </c>
      <c r="P42" s="5">
        <f>(Table13[[#This Row],[level premium unmarked-up]]*Table13[[#This Row],[unconditional persistency AT ISSUE]]-Table13[[#This Row],[Death benefit pay probability]])</f>
        <v>3.8522699039817278E-5</v>
      </c>
      <c r="Q42" s="4">
        <f>Table13[[#This Row],[Issuer profit with unmarked-up level premium]]/Table13[[#This Row],[Issuer discounter at issue]]</f>
        <v>1.6300764117252572E-5</v>
      </c>
      <c r="R42" s="4">
        <f>(Table13[[#This Row],[variable premium unmarked up]]*Table13[[#This Row],[unconditional persistency AT ISSUE]]-Table13[[#This Row],[Death benefit pay probability]])</f>
        <v>0</v>
      </c>
      <c r="S42" s="6">
        <f>Table13[[#This Row],[level premium unmarked-up]]*(1+$B$15)</f>
        <v>2.4615991981893799E-3</v>
      </c>
      <c r="T42" s="6">
        <f>MIN(Table13[[#This Row],[variable premium unmarked up]]*(1+$B$15),1)</f>
        <v>2.3273424324175402E-3</v>
      </c>
      <c r="U42" s="6">
        <f>Table13[[#This Row],[level premium marked up]]-Table13[[#This Row],[variable premium marked up]]</f>
        <v>1.3425676577183973E-4</v>
      </c>
      <c r="V42" s="6">
        <f>Table13[[#This Row],[additional cash]]+V41*(1+$D$2)</f>
        <v>3.72266269362675E-2</v>
      </c>
      <c r="W42" s="12"/>
      <c r="X42" s="13"/>
      <c r="Y42" s="49"/>
      <c r="Z42" s="13"/>
      <c r="AA42" s="13"/>
      <c r="AB42" s="50"/>
      <c r="AC42" s="14"/>
      <c r="AD42" s="28"/>
      <c r="AE42" s="46"/>
      <c r="AF42" s="42"/>
      <c r="AG42" s="46"/>
      <c r="AH42" s="48"/>
      <c r="AI42" s="29"/>
      <c r="AJ42" s="29"/>
      <c r="AK42" s="57">
        <f>Table13[[#This Row],[level premium marked up]]*Table13[[#This Row],[unconditional survival NOW]]</f>
        <v>0</v>
      </c>
      <c r="AL42" s="62">
        <f>Table13[[#This Row],[cumulative debt until t]]*Table13[[#This Row],[Unconditional mortality NOW]]</f>
        <v>0</v>
      </c>
      <c r="AM42" s="47"/>
      <c r="AN42" s="58"/>
      <c r="AO42" s="47"/>
      <c r="AP42" s="46"/>
      <c r="AQ42" s="58"/>
      <c r="AR42" s="60"/>
      <c r="AS42" s="58"/>
    </row>
    <row r="43" spans="1:45" s="3" customFormat="1">
      <c r="A43" s="3">
        <v>47</v>
      </c>
      <c r="B43" s="8">
        <v>4.2000000000000003E-2</v>
      </c>
      <c r="C43" s="3">
        <v>0</v>
      </c>
      <c r="D43" s="12">
        <v>4.2000000000000003E-2</v>
      </c>
      <c r="E43" s="66">
        <v>2.4399999999999999E-3</v>
      </c>
      <c r="F43" s="13">
        <f>1-Table13[[#This Row],[one-year conditional mortality AT ISSUE]]</f>
        <v>0.99756</v>
      </c>
      <c r="G43" s="13">
        <f>PRODUCT(F$17:F43)</f>
        <v>0.97192267938746901</v>
      </c>
      <c r="H43" s="13">
        <f>Table13[[#This Row],[one-year conditional survival AT ISSUE]]*(1-Table13[[#This Row],[Lapse rate]])</f>
        <v>0.95566247999999998</v>
      </c>
      <c r="I43" s="13">
        <f>PRODUCT(H$17:H43)</f>
        <v>0.27421111993156116</v>
      </c>
      <c r="J43" s="13">
        <f>G42*Table13[[#This Row],[one-year conditional mortality AT ISSUE]]</f>
        <v>2.37729193001466E-3</v>
      </c>
      <c r="K43" s="10">
        <f>I42*Table13[[#This Row],[one-year conditional mortality AT ISSUE]]</f>
        <v>7.0011656482842066E-4</v>
      </c>
      <c r="L43" s="3">
        <f t="shared" si="0"/>
        <v>2.4615991981893799E-3</v>
      </c>
      <c r="M43" s="44">
        <f>Table13[[#This Row],[Death benefit pay probability]]/Table13[[#This Row],[unconditional persistency AT ISSUE]]</f>
        <v>2.5532026746514103E-3</v>
      </c>
      <c r="N43" s="44">
        <f>Table13[[#This Row],[one-year conditional mortality AT ISSUE]]/Table13[[#This Row],[one-year conditional persistency AT ISSUE]]</f>
        <v>2.5532026746514103E-3</v>
      </c>
      <c r="O43" s="4">
        <f>(1+$B$14)^(Table13[[#This Row],[age since issue]]-$A$17)</f>
        <v>2.4459585587163861</v>
      </c>
      <c r="P43" s="5">
        <f>(Table13[[#This Row],[level premium unmarked-up]]*Table13[[#This Row],[unconditional persistency AT ISSUE]]-Table13[[#This Row],[Death benefit pay probability]])</f>
        <v>-2.5118691870277838E-5</v>
      </c>
      <c r="Q43" s="4">
        <f>Table13[[#This Row],[Issuer profit with unmarked-up level premium]]/Table13[[#This Row],[Issuer discounter at issue]]</f>
        <v>-1.0269467477592861E-5</v>
      </c>
      <c r="R43" s="4">
        <f>(Table13[[#This Row],[variable premium unmarked up]]*Table13[[#This Row],[unconditional persistency AT ISSUE]]-Table13[[#This Row],[Death benefit pay probability]])</f>
        <v>0</v>
      </c>
      <c r="S43" s="6">
        <f>Table13[[#This Row],[level premium unmarked-up]]*(1+$B$15)</f>
        <v>2.4615991981893799E-3</v>
      </c>
      <c r="T43" s="6">
        <f>MIN(Table13[[#This Row],[variable premium unmarked up]]*(1+$B$15),1)</f>
        <v>2.5532026746514103E-3</v>
      </c>
      <c r="U43" s="6">
        <f>Table13[[#This Row],[level premium marked up]]-Table13[[#This Row],[variable premium marked up]]</f>
        <v>-9.1603476462030417E-5</v>
      </c>
      <c r="V43" s="6">
        <f>Table13[[#This Row],[additional cash]]+V42*(1+$D$2)</f>
        <v>3.7172250086741729E-2</v>
      </c>
      <c r="W43" s="12"/>
      <c r="X43" s="13"/>
      <c r="Y43" s="49"/>
      <c r="Z43" s="13"/>
      <c r="AA43" s="13"/>
      <c r="AB43" s="50"/>
      <c r="AC43" s="14"/>
      <c r="AD43" s="28"/>
      <c r="AE43" s="46"/>
      <c r="AF43" s="42"/>
      <c r="AG43" s="46"/>
      <c r="AH43" s="48"/>
      <c r="AI43" s="29"/>
      <c r="AJ43" s="29"/>
      <c r="AK43" s="57">
        <f>Table13[[#This Row],[level premium marked up]]*Table13[[#This Row],[unconditional survival NOW]]</f>
        <v>0</v>
      </c>
      <c r="AL43" s="62">
        <f>Table13[[#This Row],[cumulative debt until t]]*Table13[[#This Row],[Unconditional mortality NOW]]</f>
        <v>0</v>
      </c>
      <c r="AM43" s="47"/>
      <c r="AN43" s="58"/>
      <c r="AO43" s="47"/>
      <c r="AP43" s="46"/>
      <c r="AQ43" s="58"/>
      <c r="AR43" s="60"/>
      <c r="AS43" s="58"/>
    </row>
    <row r="44" spans="1:45" s="3" customFormat="1">
      <c r="A44" s="3">
        <v>48</v>
      </c>
      <c r="B44" s="8">
        <v>3.2000000000000001E-2</v>
      </c>
      <c r="C44" s="3">
        <v>0</v>
      </c>
      <c r="D44" s="12">
        <v>3.2000000000000001E-2</v>
      </c>
      <c r="E44" s="66">
        <v>2.6800000000000001E-3</v>
      </c>
      <c r="F44" s="13">
        <f>1-Table13[[#This Row],[one-year conditional mortality AT ISSUE]]</f>
        <v>0.99731999999999998</v>
      </c>
      <c r="G44" s="13">
        <f>PRODUCT(F$17:F44)</f>
        <v>0.96931792660671057</v>
      </c>
      <c r="H44" s="13">
        <f>Table13[[#This Row],[one-year conditional survival AT ISSUE]]*(1-Table13[[#This Row],[Lapse rate]])</f>
        <v>0.96540576</v>
      </c>
      <c r="I44" s="13">
        <f>PRODUCT(H$17:H44)</f>
        <v>0.26472499463797994</v>
      </c>
      <c r="J44" s="13">
        <f>G43*Table13[[#This Row],[one-year conditional mortality AT ISSUE]]</f>
        <v>2.6047527807584172E-3</v>
      </c>
      <c r="K44" s="10">
        <f>I43*Table13[[#This Row],[one-year conditional mortality AT ISSUE]]</f>
        <v>7.3488580141658393E-4</v>
      </c>
      <c r="L44" s="3">
        <f t="shared" si="0"/>
        <v>2.4615991981893799E-3</v>
      </c>
      <c r="M44" s="44">
        <f>Table13[[#This Row],[Death benefit pay probability]]/Table13[[#This Row],[unconditional persistency AT ISSUE]]</f>
        <v>2.7760348146255104E-3</v>
      </c>
      <c r="N44" s="44">
        <f>Table13[[#This Row],[one-year conditional mortality AT ISSUE]]/Table13[[#This Row],[one-year conditional persistency AT ISSUE]]</f>
        <v>2.7760348146255104E-3</v>
      </c>
      <c r="O44" s="4">
        <f>(1+$B$14)^(Table13[[#This Row],[age since issue]]-$A$17)</f>
        <v>2.5315671082714597</v>
      </c>
      <c r="P44" s="5">
        <f>(Table13[[#This Row],[level premium unmarked-up]]*Table13[[#This Row],[unconditional persistency AT ISSUE]]-Table13[[#This Row],[Death benefit pay probability]])</f>
        <v>-8.3238966875044565E-5</v>
      </c>
      <c r="Q44" s="4">
        <f>Table13[[#This Row],[Issuer profit with unmarked-up level premium]]/Table13[[#This Row],[Issuer discounter at issue]]</f>
        <v>-3.2880410952992546E-5</v>
      </c>
      <c r="R44" s="4">
        <f>(Table13[[#This Row],[variable premium unmarked up]]*Table13[[#This Row],[unconditional persistency AT ISSUE]]-Table13[[#This Row],[Death benefit pay probability]])</f>
        <v>0</v>
      </c>
      <c r="S44" s="6">
        <f>Table13[[#This Row],[level premium unmarked-up]]*(1+$B$15)</f>
        <v>2.4615991981893799E-3</v>
      </c>
      <c r="T44" s="6">
        <f>MIN(Table13[[#This Row],[variable premium unmarked up]]*(1+$B$15),1)</f>
        <v>2.7760348146255104E-3</v>
      </c>
      <c r="U44" s="6">
        <f>Table13[[#This Row],[level premium marked up]]-Table13[[#This Row],[variable premium marked up]]</f>
        <v>-3.144356164361305E-4</v>
      </c>
      <c r="V44" s="6">
        <f>Table13[[#This Row],[additional cash]]+V43*(1+$D$2)</f>
        <v>3.6894986720392334E-2</v>
      </c>
      <c r="W44" s="12"/>
      <c r="X44" s="13"/>
      <c r="Y44" s="49"/>
      <c r="Z44" s="13"/>
      <c r="AA44" s="13"/>
      <c r="AB44" s="50"/>
      <c r="AC44" s="14"/>
      <c r="AD44" s="28"/>
      <c r="AE44" s="46"/>
      <c r="AF44" s="42"/>
      <c r="AG44" s="46"/>
      <c r="AH44" s="48"/>
      <c r="AI44" s="29"/>
      <c r="AJ44" s="29"/>
      <c r="AK44" s="57">
        <f>Table13[[#This Row],[level premium marked up]]*Table13[[#This Row],[unconditional survival NOW]]</f>
        <v>0</v>
      </c>
      <c r="AL44" s="62">
        <f>Table13[[#This Row],[cumulative debt until t]]*Table13[[#This Row],[Unconditional mortality NOW]]</f>
        <v>0</v>
      </c>
      <c r="AM44" s="47"/>
      <c r="AN44" s="58"/>
      <c r="AO44" s="47"/>
      <c r="AP44" s="46"/>
      <c r="AQ44" s="58"/>
      <c r="AR44" s="60"/>
      <c r="AS44" s="58"/>
    </row>
    <row r="45" spans="1:45" s="3" customFormat="1">
      <c r="A45" s="3">
        <v>49</v>
      </c>
      <c r="B45" s="8">
        <v>3.2000000000000001E-2</v>
      </c>
      <c r="C45" s="3">
        <v>0</v>
      </c>
      <c r="D45" s="12">
        <v>3.2000000000000001E-2</v>
      </c>
      <c r="E45" s="66">
        <v>2.81E-3</v>
      </c>
      <c r="F45" s="13">
        <f>1-Table13[[#This Row],[one-year conditional mortality AT ISSUE]]</f>
        <v>0.99719000000000002</v>
      </c>
      <c r="G45" s="13">
        <f>PRODUCT(F$17:F45)</f>
        <v>0.96659414323294568</v>
      </c>
      <c r="H45" s="13">
        <f>Table13[[#This Row],[one-year conditional survival AT ISSUE]]*(1-Table13[[#This Row],[Lapse rate]])</f>
        <v>0.96527991999999996</v>
      </c>
      <c r="I45" s="13">
        <f>PRODUCT(H$17:H45)</f>
        <v>0.25553372164614968</v>
      </c>
      <c r="J45" s="13">
        <f>G44*Table13[[#This Row],[one-year conditional mortality AT ISSUE]]</f>
        <v>2.7237833737648568E-3</v>
      </c>
      <c r="K45" s="10">
        <f>I44*Table13[[#This Row],[one-year conditional mortality AT ISSUE]]</f>
        <v>7.4387723493272366E-4</v>
      </c>
      <c r="L45" s="3">
        <f t="shared" si="0"/>
        <v>2.4615991981893799E-3</v>
      </c>
      <c r="M45" s="44">
        <f>Table13[[#This Row],[Death benefit pay probability]]/Table13[[#This Row],[unconditional persistency AT ISSUE]]</f>
        <v>2.9110726762036038E-3</v>
      </c>
      <c r="N45" s="44">
        <f>Table13[[#This Row],[one-year conditional mortality AT ISSUE]]/Table13[[#This Row],[one-year conditional persistency AT ISSUE]]</f>
        <v>2.9110726762036033E-3</v>
      </c>
      <c r="O45" s="4">
        <f>(1+$B$14)^(Table13[[#This Row],[age since issue]]-$A$17)</f>
        <v>2.6201719570609607</v>
      </c>
      <c r="P45" s="5">
        <f>(Table13[[#This Row],[level premium unmarked-up]]*Table13[[#This Row],[unconditional persistency AT ISSUE]]-Table13[[#This Row],[Death benefit pay probability]])</f>
        <v>-1.1485563061821343E-4</v>
      </c>
      <c r="Q45" s="4">
        <f>Table13[[#This Row],[Issuer profit with unmarked-up level premium]]/Table13[[#This Row],[Issuer discounter at issue]]</f>
        <v>-4.3835149944527555E-5</v>
      </c>
      <c r="R45" s="4">
        <f>(Table13[[#This Row],[variable premium unmarked up]]*Table13[[#This Row],[unconditional persistency AT ISSUE]]-Table13[[#This Row],[Death benefit pay probability]])</f>
        <v>0</v>
      </c>
      <c r="S45" s="6">
        <f>Table13[[#This Row],[level premium unmarked-up]]*(1+$B$15)</f>
        <v>2.4615991981893799E-3</v>
      </c>
      <c r="T45" s="6">
        <f>MIN(Table13[[#This Row],[variable premium unmarked up]]*(1+$B$15),1)</f>
        <v>2.9110726762036038E-3</v>
      </c>
      <c r="U45" s="6">
        <f>Table13[[#This Row],[level premium marked up]]-Table13[[#This Row],[variable premium marked up]]</f>
        <v>-4.4947347801422384E-4</v>
      </c>
      <c r="V45" s="6">
        <f>Table13[[#This Row],[additional cash]]+V44*(1+$D$2)</f>
        <v>3.6482408229098498E-2</v>
      </c>
      <c r="W45" s="12"/>
      <c r="X45" s="13"/>
      <c r="Y45" s="49"/>
      <c r="Z45" s="13"/>
      <c r="AA45" s="13"/>
      <c r="AB45" s="50"/>
      <c r="AC45" s="14"/>
      <c r="AD45" s="28"/>
      <c r="AE45" s="46"/>
      <c r="AF45" s="42"/>
      <c r="AG45" s="46"/>
      <c r="AH45" s="48"/>
      <c r="AI45" s="29"/>
      <c r="AJ45" s="29"/>
      <c r="AK45" s="57">
        <f>Table13[[#This Row],[level premium marked up]]*Table13[[#This Row],[unconditional survival NOW]]</f>
        <v>0</v>
      </c>
      <c r="AL45" s="62">
        <f>Table13[[#This Row],[cumulative debt until t]]*Table13[[#This Row],[Unconditional mortality NOW]]</f>
        <v>0</v>
      </c>
      <c r="AM45" s="47"/>
      <c r="AN45" s="58"/>
      <c r="AO45" s="47"/>
      <c r="AP45" s="46"/>
      <c r="AQ45" s="58"/>
      <c r="AR45" s="60"/>
      <c r="AS45" s="58"/>
    </row>
    <row r="46" spans="1:45" s="3" customFormat="1">
      <c r="A46" s="3">
        <v>50</v>
      </c>
      <c r="B46" s="8">
        <v>3.2000000000000001E-2</v>
      </c>
      <c r="C46" s="3">
        <v>0</v>
      </c>
      <c r="D46" s="12">
        <v>3.2000000000000001E-2</v>
      </c>
      <c r="E46" s="66">
        <v>2.96E-3</v>
      </c>
      <c r="F46" s="13">
        <f>1-Table13[[#This Row],[one-year conditional mortality AT ISSUE]]</f>
        <v>0.99704000000000004</v>
      </c>
      <c r="G46" s="13">
        <f>PRODUCT(F$17:F46)</f>
        <v>0.96373302456897625</v>
      </c>
      <c r="H46" s="13">
        <f>Table13[[#This Row],[one-year conditional survival AT ISSUE]]*(1-Table13[[#This Row],[Lapse rate]])</f>
        <v>0.96513472</v>
      </c>
      <c r="I46" s="13">
        <f>PRODUCT(H$17:H46)</f>
        <v>0.2466244668915146</v>
      </c>
      <c r="J46" s="13">
        <f>G45*Table13[[#This Row],[one-year conditional mortality AT ISSUE]]</f>
        <v>2.8611186639695193E-3</v>
      </c>
      <c r="K46" s="10">
        <f>I45*Table13[[#This Row],[one-year conditional mortality AT ISSUE]]</f>
        <v>7.56379816072603E-4</v>
      </c>
      <c r="L46" s="3">
        <f t="shared" si="0"/>
        <v>2.4615991981893799E-3</v>
      </c>
      <c r="M46" s="44">
        <f>Table13[[#This Row],[Death benefit pay probability]]/Table13[[#This Row],[unconditional persistency AT ISSUE]]</f>
        <v>3.0669293505470405E-3</v>
      </c>
      <c r="N46" s="44">
        <f>Table13[[#This Row],[one-year conditional mortality AT ISSUE]]/Table13[[#This Row],[one-year conditional persistency AT ISSUE]]</f>
        <v>3.0669293505470405E-3</v>
      </c>
      <c r="O46" s="4">
        <f>(1+$B$14)^(Table13[[#This Row],[age since issue]]-$A$17)</f>
        <v>2.7118779755580937</v>
      </c>
      <c r="P46" s="5">
        <f>(Table13[[#This Row],[level premium unmarked-up]]*Table13[[#This Row],[unconditional persistency AT ISSUE]]-Table13[[#This Row],[Death benefit pay probability]])</f>
        <v>-1.4928922611856738E-4</v>
      </c>
      <c r="Q46" s="4">
        <f>Table13[[#This Row],[Issuer profit with unmarked-up level premium]]/Table13[[#This Row],[Issuer discounter at issue]]</f>
        <v>-5.5050126688625895E-5</v>
      </c>
      <c r="R46" s="4">
        <f>(Table13[[#This Row],[variable premium unmarked up]]*Table13[[#This Row],[unconditional persistency AT ISSUE]]-Table13[[#This Row],[Death benefit pay probability]])</f>
        <v>0</v>
      </c>
      <c r="S46" s="6">
        <f>Table13[[#This Row],[level premium unmarked-up]]*(1+$B$15)</f>
        <v>2.4615991981893799E-3</v>
      </c>
      <c r="T46" s="6">
        <f>MIN(Table13[[#This Row],[variable premium unmarked up]]*(1+$B$15),1)</f>
        <v>3.0669293505470405E-3</v>
      </c>
      <c r="U46" s="6">
        <f>Table13[[#This Row],[level premium marked up]]-Table13[[#This Row],[variable premium marked up]]</f>
        <v>-6.0533015235766062E-4</v>
      </c>
      <c r="V46" s="6">
        <f>Table13[[#This Row],[additional cash]]+V45*(1+$D$2)</f>
        <v>3.5913560484969929E-2</v>
      </c>
      <c r="W46" s="12"/>
      <c r="X46" s="13"/>
      <c r="Y46" s="49"/>
      <c r="Z46" s="13"/>
      <c r="AA46" s="13"/>
      <c r="AB46" s="50"/>
      <c r="AC46" s="14"/>
      <c r="AD46" s="28"/>
      <c r="AE46" s="46"/>
      <c r="AF46" s="42"/>
      <c r="AG46" s="46"/>
      <c r="AH46" s="48"/>
      <c r="AI46" s="29"/>
      <c r="AJ46" s="29"/>
      <c r="AK46" s="57">
        <f>Table13[[#This Row],[level premium marked up]]*Table13[[#This Row],[unconditional survival NOW]]</f>
        <v>0</v>
      </c>
      <c r="AL46" s="62">
        <f>Table13[[#This Row],[cumulative debt until t]]*Table13[[#This Row],[Unconditional mortality NOW]]</f>
        <v>0</v>
      </c>
      <c r="AM46" s="47"/>
      <c r="AN46" s="58"/>
      <c r="AO46" s="47"/>
      <c r="AP46" s="46"/>
      <c r="AQ46" s="58"/>
      <c r="AR46" s="60"/>
      <c r="AS46" s="58"/>
    </row>
    <row r="47" spans="1:45" s="3" customFormat="1">
      <c r="A47" s="3">
        <v>51</v>
      </c>
      <c r="B47" s="8">
        <v>3.2000000000000001E-2</v>
      </c>
      <c r="C47" s="3">
        <v>0</v>
      </c>
      <c r="D47" s="12">
        <v>3.2000000000000001E-2</v>
      </c>
      <c r="E47" s="66">
        <v>3.1700000000000001E-3</v>
      </c>
      <c r="F47" s="13">
        <f>1-Table13[[#This Row],[one-year conditional mortality AT ISSUE]]</f>
        <v>0.99682999999999999</v>
      </c>
      <c r="G47" s="13">
        <f>PRODUCT(F$17:F47)</f>
        <v>0.96067799088109262</v>
      </c>
      <c r="H47" s="13">
        <f>Table13[[#This Row],[one-year conditional survival AT ISSUE]]*(1-Table13[[#This Row],[Lapse rate]])</f>
        <v>0.96493143999999997</v>
      </c>
      <c r="I47" s="13">
        <f>PRODUCT(H$17:H47)</f>
        <v>0.23797570197686149</v>
      </c>
      <c r="J47" s="13">
        <f>G46*Table13[[#This Row],[one-year conditional mortality AT ISSUE]]</f>
        <v>3.055033687883655E-3</v>
      </c>
      <c r="K47" s="10">
        <f>I46*Table13[[#This Row],[one-year conditional mortality AT ISSUE]]</f>
        <v>7.8179956004610131E-4</v>
      </c>
      <c r="L47" s="3">
        <f t="shared" si="0"/>
        <v>2.4615991981893799E-3</v>
      </c>
      <c r="M47" s="44">
        <f>Table13[[#This Row],[Death benefit pay probability]]/Table13[[#This Row],[unconditional persistency AT ISSUE]]</f>
        <v>3.2852074961926834E-3</v>
      </c>
      <c r="N47" s="44">
        <f>Table13[[#This Row],[one-year conditional mortality AT ISSUE]]/Table13[[#This Row],[one-year conditional persistency AT ISSUE]]</f>
        <v>3.2852074961926829E-3</v>
      </c>
      <c r="O47" s="4">
        <f>(1+$B$14)^(Table13[[#This Row],[age since issue]]-$A$17)</f>
        <v>2.8067937047026272</v>
      </c>
      <c r="P47" s="5">
        <f>(Table13[[#This Row],[level premium unmarked-up]]*Table13[[#This Row],[unconditional persistency AT ISSUE]]-Table13[[#This Row],[Death benefit pay probability]])</f>
        <v>-1.9599876287130418E-4</v>
      </c>
      <c r="Q47" s="4">
        <f>Table13[[#This Row],[Issuer profit with unmarked-up level premium]]/Table13[[#This Row],[Issuer discounter at issue]]</f>
        <v>-6.98301277158058E-5</v>
      </c>
      <c r="R47" s="4">
        <f>(Table13[[#This Row],[variable premium unmarked up]]*Table13[[#This Row],[unconditional persistency AT ISSUE]]-Table13[[#This Row],[Death benefit pay probability]])</f>
        <v>0</v>
      </c>
      <c r="S47" s="6">
        <f>Table13[[#This Row],[level premium unmarked-up]]*(1+$B$15)</f>
        <v>2.4615991981893799E-3</v>
      </c>
      <c r="T47" s="6">
        <f>MIN(Table13[[#This Row],[variable premium unmarked up]]*(1+$B$15),1)</f>
        <v>3.2852074961926834E-3</v>
      </c>
      <c r="U47" s="6">
        <f>Table13[[#This Row],[level premium marked up]]-Table13[[#This Row],[variable premium marked up]]</f>
        <v>-8.2360829800330344E-4</v>
      </c>
      <c r="V47" s="6">
        <f>Table13[[#This Row],[additional cash]]+V46*(1+$D$2)</f>
        <v>3.5125865747451586E-2</v>
      </c>
      <c r="W47" s="12"/>
      <c r="X47" s="13"/>
      <c r="Y47" s="49"/>
      <c r="Z47" s="13"/>
      <c r="AA47" s="13"/>
      <c r="AB47" s="50"/>
      <c r="AC47" s="14"/>
      <c r="AD47" s="28"/>
      <c r="AE47" s="46"/>
      <c r="AF47" s="42"/>
      <c r="AG47" s="46"/>
      <c r="AH47" s="48"/>
      <c r="AI47" s="29"/>
      <c r="AJ47" s="29"/>
      <c r="AK47" s="57">
        <f>Table13[[#This Row],[level premium marked up]]*Table13[[#This Row],[unconditional survival NOW]]</f>
        <v>0</v>
      </c>
      <c r="AL47" s="62">
        <f>Table13[[#This Row],[cumulative debt until t]]*Table13[[#This Row],[Unconditional mortality NOW]]</f>
        <v>0</v>
      </c>
      <c r="AM47" s="47"/>
      <c r="AN47" s="58"/>
      <c r="AO47" s="47"/>
      <c r="AP47" s="46"/>
      <c r="AQ47" s="58"/>
      <c r="AR47" s="60"/>
      <c r="AS47" s="58"/>
    </row>
    <row r="48" spans="1:45" s="3" customFormat="1">
      <c r="A48" s="3">
        <v>52</v>
      </c>
      <c r="B48" s="8">
        <v>3.2000000000000001E-2</v>
      </c>
      <c r="C48" s="3">
        <v>0</v>
      </c>
      <c r="D48" s="12">
        <v>3.2000000000000001E-2</v>
      </c>
      <c r="E48" s="66">
        <v>3.4299999999999999E-3</v>
      </c>
      <c r="F48" s="13">
        <f>1-Table13[[#This Row],[one-year conditional mortality AT ISSUE]]</f>
        <v>0.99656999999999996</v>
      </c>
      <c r="G48" s="13">
        <f>PRODUCT(F$17:F48)</f>
        <v>0.95738286537237038</v>
      </c>
      <c r="H48" s="13">
        <f>Table13[[#This Row],[one-year conditional survival AT ISSUE]]*(1-Table13[[#This Row],[Lapse rate]])</f>
        <v>0.96467975999999989</v>
      </c>
      <c r="I48" s="13">
        <f>PRODUCT(H$17:H48)</f>
        <v>0.22957034306887025</v>
      </c>
      <c r="J48" s="13">
        <f>G47*Table13[[#This Row],[one-year conditional mortality AT ISSUE]]</f>
        <v>3.2951255087221476E-3</v>
      </c>
      <c r="K48" s="10">
        <f>I47*Table13[[#This Row],[one-year conditional mortality AT ISSUE]]</f>
        <v>8.1625665778063488E-4</v>
      </c>
      <c r="L48" s="3">
        <f t="shared" si="0"/>
        <v>2.4615991981893799E-3</v>
      </c>
      <c r="M48" s="44">
        <f>Table13[[#This Row],[Death benefit pay probability]]/Table13[[#This Row],[unconditional persistency AT ISSUE]]</f>
        <v>3.5555840831572958E-3</v>
      </c>
      <c r="N48" s="44">
        <f>Table13[[#This Row],[one-year conditional mortality AT ISSUE]]/Table13[[#This Row],[one-year conditional persistency AT ISSUE]]</f>
        <v>3.5555840831572958E-3</v>
      </c>
      <c r="O48" s="4">
        <f>(1+$B$14)^(Table13[[#This Row],[age since issue]]-$A$17)</f>
        <v>2.9050314843672189</v>
      </c>
      <c r="P48" s="5">
        <f>(Table13[[#This Row],[level premium unmarked-up]]*Table13[[#This Row],[unconditional persistency AT ISSUE]]-Table13[[#This Row],[Death benefit pay probability]])</f>
        <v>-2.5114648535424296E-4</v>
      </c>
      <c r="Q48" s="4">
        <f>Table13[[#This Row],[Issuer profit with unmarked-up level premium]]/Table13[[#This Row],[Issuer discounter at issue]]</f>
        <v>-8.6452242154941151E-5</v>
      </c>
      <c r="R48" s="4">
        <f>(Table13[[#This Row],[variable premium unmarked up]]*Table13[[#This Row],[unconditional persistency AT ISSUE]]-Table13[[#This Row],[Death benefit pay probability]])</f>
        <v>0</v>
      </c>
      <c r="S48" s="6">
        <f>Table13[[#This Row],[level premium unmarked-up]]*(1+$B$15)</f>
        <v>2.4615991981893799E-3</v>
      </c>
      <c r="T48" s="6">
        <f>MIN(Table13[[#This Row],[variable premium unmarked up]]*(1+$B$15),1)</f>
        <v>3.5555840831572958E-3</v>
      </c>
      <c r="U48" s="6">
        <f>Table13[[#This Row],[level premium marked up]]-Table13[[#This Row],[variable premium marked up]]</f>
        <v>-1.0939848849679159E-3</v>
      </c>
      <c r="V48" s="6">
        <f>Table13[[#This Row],[additional cash]]+V47*(1+$D$2)</f>
        <v>3.4067006728231118E-2</v>
      </c>
      <c r="W48" s="12"/>
      <c r="X48" s="13"/>
      <c r="Y48" s="49"/>
      <c r="Z48" s="13"/>
      <c r="AA48" s="13"/>
      <c r="AB48" s="50"/>
      <c r="AC48" s="14"/>
      <c r="AD48" s="28"/>
      <c r="AE48" s="46"/>
      <c r="AF48" s="42"/>
      <c r="AG48" s="46"/>
      <c r="AH48" s="48"/>
      <c r="AI48" s="29"/>
      <c r="AJ48" s="29"/>
      <c r="AK48" s="57">
        <f>Table13[[#This Row],[level premium marked up]]*Table13[[#This Row],[unconditional survival NOW]]</f>
        <v>0</v>
      </c>
      <c r="AL48" s="62">
        <f>Table13[[#This Row],[cumulative debt until t]]*Table13[[#This Row],[Unconditional mortality NOW]]</f>
        <v>0</v>
      </c>
      <c r="AM48" s="47"/>
      <c r="AN48" s="58"/>
      <c r="AO48" s="47"/>
      <c r="AP48" s="46"/>
      <c r="AQ48" s="58"/>
      <c r="AR48" s="60"/>
      <c r="AS48" s="58"/>
    </row>
    <row r="49" spans="1:45" s="3" customFormat="1">
      <c r="A49" s="3">
        <v>53</v>
      </c>
      <c r="B49" s="8">
        <v>3.2000000000000001E-2</v>
      </c>
      <c r="C49" s="3">
        <v>0</v>
      </c>
      <c r="D49" s="12">
        <v>3.2000000000000001E-2</v>
      </c>
      <c r="E49" s="66">
        <v>3.79E-3</v>
      </c>
      <c r="F49" s="13">
        <f>1-Table13[[#This Row],[one-year conditional mortality AT ISSUE]]</f>
        <v>0.99621000000000004</v>
      </c>
      <c r="G49" s="13">
        <f>PRODUCT(F$17:F49)</f>
        <v>0.95375438431260917</v>
      </c>
      <c r="H49" s="13">
        <f>Table13[[#This Row],[one-year conditional survival AT ISSUE]]*(1-Table13[[#This Row],[Lapse rate]])</f>
        <v>0.96433128000000001</v>
      </c>
      <c r="I49" s="13">
        <f>PRODUCT(H$17:H49)</f>
        <v>0.22138186278164279</v>
      </c>
      <c r="J49" s="13">
        <f>G48*Table13[[#This Row],[one-year conditional mortality AT ISSUE]]</f>
        <v>3.6284810597612838E-3</v>
      </c>
      <c r="K49" s="10">
        <f>I48*Table13[[#This Row],[one-year conditional mortality AT ISSUE]]</f>
        <v>8.7007160023101825E-4</v>
      </c>
      <c r="L49" s="3">
        <f t="shared" si="0"/>
        <v>2.4615991981893799E-3</v>
      </c>
      <c r="M49" s="44">
        <f>Table13[[#This Row],[Death benefit pay probability]]/Table13[[#This Row],[unconditional persistency AT ISSUE]]</f>
        <v>3.9301846560447565E-3</v>
      </c>
      <c r="N49" s="44">
        <f>Table13[[#This Row],[one-year conditional mortality AT ISSUE]]/Table13[[#This Row],[one-year conditional persistency AT ISSUE]]</f>
        <v>3.9301846560447565E-3</v>
      </c>
      <c r="O49" s="4">
        <f>(1+$B$14)^(Table13[[#This Row],[age since issue]]-$A$17)</f>
        <v>3.0067075863200707</v>
      </c>
      <c r="P49" s="5">
        <f>(Table13[[#This Row],[level premium unmarked-up]]*Table13[[#This Row],[unconditional persistency AT ISSUE]]-Table13[[#This Row],[Death benefit pay probability]])</f>
        <v>-3.2511818431405501E-4</v>
      </c>
      <c r="Q49" s="4">
        <f>Table13[[#This Row],[Issuer profit with unmarked-up level premium]]/Table13[[#This Row],[Issuer discounter at issue]]</f>
        <v>-1.0813096218377834E-4</v>
      </c>
      <c r="R49" s="4">
        <f>(Table13[[#This Row],[variable premium unmarked up]]*Table13[[#This Row],[unconditional persistency AT ISSUE]]-Table13[[#This Row],[Death benefit pay probability]])</f>
        <v>0</v>
      </c>
      <c r="S49" s="6">
        <f>Table13[[#This Row],[level premium unmarked-up]]*(1+$B$15)</f>
        <v>2.4615991981893799E-3</v>
      </c>
      <c r="T49" s="6">
        <f>MIN(Table13[[#This Row],[variable premium unmarked up]]*(1+$B$15),1)</f>
        <v>3.9301846560447565E-3</v>
      </c>
      <c r="U49" s="6">
        <f>Table13[[#This Row],[level premium marked up]]-Table13[[#This Row],[variable premium marked up]]</f>
        <v>-1.4685854578553766E-3</v>
      </c>
      <c r="V49" s="6">
        <f>Table13[[#This Row],[additional cash]]+V48*(1+$D$2)</f>
        <v>3.2632488277103966E-2</v>
      </c>
      <c r="W49" s="12"/>
      <c r="X49" s="13"/>
      <c r="Y49" s="49"/>
      <c r="Z49" s="13"/>
      <c r="AA49" s="13"/>
      <c r="AB49" s="50"/>
      <c r="AC49" s="14"/>
      <c r="AD49" s="28"/>
      <c r="AE49" s="46"/>
      <c r="AF49" s="42"/>
      <c r="AG49" s="46"/>
      <c r="AH49" s="48"/>
      <c r="AI49" s="29"/>
      <c r="AJ49" s="29"/>
      <c r="AK49" s="57">
        <f>Table13[[#This Row],[level premium marked up]]*Table13[[#This Row],[unconditional survival NOW]]</f>
        <v>0</v>
      </c>
      <c r="AL49" s="62">
        <f>Table13[[#This Row],[cumulative debt until t]]*Table13[[#This Row],[Unconditional mortality NOW]]</f>
        <v>0</v>
      </c>
      <c r="AM49" s="47"/>
      <c r="AN49" s="58"/>
      <c r="AO49" s="47"/>
      <c r="AP49" s="46"/>
      <c r="AQ49" s="58"/>
      <c r="AR49" s="60"/>
      <c r="AS49" s="58"/>
    </row>
    <row r="50" spans="1:45" s="3" customFormat="1">
      <c r="A50" s="3">
        <v>54</v>
      </c>
      <c r="B50" s="8">
        <v>3.2000000000000001E-2</v>
      </c>
      <c r="C50" s="3">
        <v>0</v>
      </c>
      <c r="D50" s="12">
        <v>3.2000000000000001E-2</v>
      </c>
      <c r="E50" s="66">
        <v>4.1999999999999997E-3</v>
      </c>
      <c r="F50" s="13">
        <f>1-Table13[[#This Row],[one-year conditional mortality AT ISSUE]]</f>
        <v>0.99580000000000002</v>
      </c>
      <c r="G50" s="13">
        <f>PRODUCT(F$17:F50)</f>
        <v>0.94974861589849624</v>
      </c>
      <c r="H50" s="13">
        <f>Table13[[#This Row],[one-year conditional survival AT ISSUE]]*(1-Table13[[#This Row],[Lapse rate]])</f>
        <v>0.96393439999999997</v>
      </c>
      <c r="I50" s="13">
        <f>PRODUCT(H$17:H50)</f>
        <v>0.21339759307130518</v>
      </c>
      <c r="J50" s="13">
        <f>G49*Table13[[#This Row],[one-year conditional mortality AT ISSUE]]</f>
        <v>4.0057684141129582E-3</v>
      </c>
      <c r="K50" s="10">
        <f>I49*Table13[[#This Row],[one-year conditional mortality AT ISSUE]]</f>
        <v>9.2980382368289965E-4</v>
      </c>
      <c r="L50" s="3">
        <f t="shared" si="0"/>
        <v>2.4615991981893799E-3</v>
      </c>
      <c r="M50" s="44">
        <f>Table13[[#This Row],[Death benefit pay probability]]/Table13[[#This Row],[unconditional persistency AT ISSUE]]</f>
        <v>4.3571429757045706E-3</v>
      </c>
      <c r="N50" s="44">
        <f>Table13[[#This Row],[one-year conditional mortality AT ISSUE]]/Table13[[#This Row],[one-year conditional persistency AT ISSUE]]</f>
        <v>4.3571429757045706E-3</v>
      </c>
      <c r="O50" s="4">
        <f>(1+$B$14)^(Table13[[#This Row],[age since issue]]-$A$17)</f>
        <v>3.111942351841273</v>
      </c>
      <c r="P50" s="5">
        <f>(Table13[[#This Row],[level premium unmarked-up]]*Table13[[#This Row],[unconditional persistency AT ISSUE]]-Table13[[#This Row],[Death benefit pay probability]])</f>
        <v>-4.0450447968303123E-4</v>
      </c>
      <c r="Q50" s="4">
        <f>Table13[[#This Row],[Issuer profit with unmarked-up level premium]]/Table13[[#This Row],[Issuer discounter at issue]]</f>
        <v>-1.2998456717673262E-4</v>
      </c>
      <c r="R50" s="4">
        <f>(Table13[[#This Row],[variable premium unmarked up]]*Table13[[#This Row],[unconditional persistency AT ISSUE]]-Table13[[#This Row],[Death benefit pay probability]])</f>
        <v>0</v>
      </c>
      <c r="S50" s="6">
        <f>Table13[[#This Row],[level premium unmarked-up]]*(1+$B$15)</f>
        <v>2.4615991981893799E-3</v>
      </c>
      <c r="T50" s="6">
        <f>MIN(Table13[[#This Row],[variable premium unmarked up]]*(1+$B$15),1)</f>
        <v>4.3571429757045706E-3</v>
      </c>
      <c r="U50" s="6">
        <f>Table13[[#This Row],[level premium marked up]]-Table13[[#This Row],[variable premium marked up]]</f>
        <v>-1.8955437775151907E-3</v>
      </c>
      <c r="V50" s="6">
        <f>Table13[[#This Row],[additional cash]]+V49*(1+$D$2)</f>
        <v>3.0769576987865872E-2</v>
      </c>
      <c r="W50" s="12"/>
      <c r="X50" s="13"/>
      <c r="Y50" s="49"/>
      <c r="Z50" s="13"/>
      <c r="AA50" s="13"/>
      <c r="AB50" s="50"/>
      <c r="AC50" s="14"/>
      <c r="AD50" s="28"/>
      <c r="AE50" s="46"/>
      <c r="AF50" s="42"/>
      <c r="AG50" s="46"/>
      <c r="AH50" s="48"/>
      <c r="AI50" s="29"/>
      <c r="AJ50" s="29"/>
      <c r="AK50" s="57">
        <f>Table13[[#This Row],[level premium marked up]]*Table13[[#This Row],[unconditional survival NOW]]</f>
        <v>0</v>
      </c>
      <c r="AL50" s="62">
        <f>Table13[[#This Row],[cumulative debt until t]]*Table13[[#This Row],[Unconditional mortality NOW]]</f>
        <v>0</v>
      </c>
      <c r="AM50" s="47"/>
      <c r="AN50" s="58"/>
      <c r="AO50" s="47"/>
      <c r="AP50" s="46"/>
      <c r="AQ50" s="58"/>
      <c r="AR50" s="60"/>
      <c r="AS50" s="58"/>
    </row>
    <row r="51" spans="1:45" s="3" customFormat="1">
      <c r="A51" s="3">
        <v>55</v>
      </c>
      <c r="B51" s="8">
        <v>3.2000000000000001E-2</v>
      </c>
      <c r="C51" s="3">
        <v>0</v>
      </c>
      <c r="D51" s="12">
        <v>3.2000000000000001E-2</v>
      </c>
      <c r="E51" s="66">
        <v>4.7200000000000002E-3</v>
      </c>
      <c r="F51" s="13">
        <f>1-Table13[[#This Row],[one-year conditional mortality AT ISSUE]]</f>
        <v>0.99528000000000005</v>
      </c>
      <c r="G51" s="13">
        <f>PRODUCT(F$17:F51)</f>
        <v>0.94526580243145542</v>
      </c>
      <c r="H51" s="13">
        <f>Table13[[#This Row],[one-year conditional survival AT ISSUE]]*(1-Table13[[#This Row],[Lapse rate]])</f>
        <v>0.96343104000000002</v>
      </c>
      <c r="I51" s="13">
        <f>PRODUCT(H$17:H51)</f>
        <v>0.20559386502618435</v>
      </c>
      <c r="J51" s="13">
        <f>G50*Table13[[#This Row],[one-year conditional mortality AT ISSUE]]</f>
        <v>4.4828134670409029E-3</v>
      </c>
      <c r="K51" s="10">
        <f>I50*Table13[[#This Row],[one-year conditional mortality AT ISSUE]]</f>
        <v>1.0072366392965605E-3</v>
      </c>
      <c r="L51" s="3">
        <f t="shared" si="0"/>
        <v>2.4615991981893799E-3</v>
      </c>
      <c r="M51" s="44">
        <f>Table13[[#This Row],[Death benefit pay probability]]/Table13[[#This Row],[unconditional persistency AT ISSUE]]</f>
        <v>4.8991570792653724E-3</v>
      </c>
      <c r="N51" s="44">
        <f>Table13[[#This Row],[one-year conditional mortality AT ISSUE]]/Table13[[#This Row],[one-year conditional persistency AT ISSUE]]</f>
        <v>4.8991570792653724E-3</v>
      </c>
      <c r="O51" s="4">
        <f>(1+$B$14)^(Table13[[#This Row],[age since issue]]-$A$17)</f>
        <v>3.2208603341557174</v>
      </c>
      <c r="P51" s="5">
        <f>(Table13[[#This Row],[level premium unmarked-up]]*Table13[[#This Row],[unconditional persistency AT ISSUE]]-Table13[[#This Row],[Death benefit pay probability]])</f>
        <v>-5.0114694599544946E-4</v>
      </c>
      <c r="Q51" s="4">
        <f>Table13[[#This Row],[Issuer profit with unmarked-up level premium]]/Table13[[#This Row],[Issuer discounter at issue]]</f>
        <v>-1.5559412517240207E-4</v>
      </c>
      <c r="R51" s="4">
        <f>(Table13[[#This Row],[variable premium unmarked up]]*Table13[[#This Row],[unconditional persistency AT ISSUE]]-Table13[[#This Row],[Death benefit pay probability]])</f>
        <v>0</v>
      </c>
      <c r="S51" s="6">
        <f>Table13[[#This Row],[level premium unmarked-up]]*(1+$B$15)</f>
        <v>2.4615991981893799E-3</v>
      </c>
      <c r="T51" s="6">
        <f>MIN(Table13[[#This Row],[variable premium unmarked up]]*(1+$B$15),1)</f>
        <v>4.8991570792653724E-3</v>
      </c>
      <c r="U51" s="6">
        <f>Table13[[#This Row],[level premium marked up]]-Table13[[#This Row],[variable premium marked up]]</f>
        <v>-2.4375578810759925E-3</v>
      </c>
      <c r="V51" s="6">
        <f>Table13[[#This Row],[additional cash]]+V50*(1+$D$2)</f>
        <v>2.8362788683777743E-2</v>
      </c>
      <c r="W51" s="12"/>
      <c r="X51" s="13"/>
      <c r="Y51" s="49"/>
      <c r="Z51" s="13"/>
      <c r="AA51" s="13"/>
      <c r="AB51" s="50"/>
      <c r="AC51" s="14"/>
      <c r="AD51" s="28"/>
      <c r="AE51" s="46"/>
      <c r="AF51" s="42"/>
      <c r="AG51" s="46"/>
      <c r="AH51" s="48"/>
      <c r="AI51" s="29"/>
      <c r="AJ51" s="29"/>
      <c r="AK51" s="57">
        <f>Table13[[#This Row],[level premium marked up]]*Table13[[#This Row],[unconditional survival NOW]]</f>
        <v>0</v>
      </c>
      <c r="AL51" s="62">
        <f>Table13[[#This Row],[cumulative debt until t]]*Table13[[#This Row],[Unconditional mortality NOW]]</f>
        <v>0</v>
      </c>
      <c r="AM51" s="47"/>
      <c r="AN51" s="58"/>
      <c r="AO51" s="47"/>
      <c r="AP51" s="46"/>
      <c r="AQ51" s="58"/>
      <c r="AR51" s="60"/>
      <c r="AS51" s="58"/>
    </row>
    <row r="52" spans="1:45" s="3" customFormat="1">
      <c r="A52" s="3">
        <v>56</v>
      </c>
      <c r="B52" s="8">
        <v>3.2000000000000001E-2</v>
      </c>
      <c r="C52" s="3">
        <v>0</v>
      </c>
      <c r="D52" s="12">
        <v>3.2000000000000001E-2</v>
      </c>
      <c r="E52" s="66">
        <v>5.3400000000000001E-3</v>
      </c>
      <c r="F52" s="13">
        <f>1-Table13[[#This Row],[one-year conditional mortality AT ISSUE]]</f>
        <v>0.99465999999999999</v>
      </c>
      <c r="G52" s="13">
        <f>PRODUCT(F$17:F52)</f>
        <v>0.94021808304647148</v>
      </c>
      <c r="H52" s="13">
        <f>Table13[[#This Row],[one-year conditional survival AT ISSUE]]*(1-Table13[[#This Row],[Lapse rate]])</f>
        <v>0.96283087999999994</v>
      </c>
      <c r="I52" s="13">
        <f>PRODUCT(H$17:H52)</f>
        <v>0.19795212198576229</v>
      </c>
      <c r="J52" s="13">
        <f>G51*Table13[[#This Row],[one-year conditional mortality AT ISSUE]]</f>
        <v>5.0477193849839718E-3</v>
      </c>
      <c r="K52" s="10">
        <f>I51*Table13[[#This Row],[one-year conditional mortality AT ISSUE]]</f>
        <v>1.0978712392398244E-3</v>
      </c>
      <c r="L52" s="3">
        <f t="shared" si="0"/>
        <v>2.4615991981893799E-3</v>
      </c>
      <c r="M52" s="44">
        <f>Table13[[#This Row],[Death benefit pay probability]]/Table13[[#This Row],[unconditional persistency AT ISSUE]]</f>
        <v>5.546145341744752E-3</v>
      </c>
      <c r="N52" s="44">
        <f>Table13[[#This Row],[one-year conditional mortality AT ISSUE]]/Table13[[#This Row],[one-year conditional persistency AT ISSUE]]</f>
        <v>5.546145341744752E-3</v>
      </c>
      <c r="O52" s="4">
        <f>(1+$B$14)^(Table13[[#This Row],[age since issue]]-$A$17)</f>
        <v>3.3335904458511671</v>
      </c>
      <c r="P52" s="5">
        <f>(Table13[[#This Row],[level premium unmarked-up]]*Table13[[#This Row],[unconditional persistency AT ISSUE]]-Table13[[#This Row],[Death benefit pay probability]])</f>
        <v>-6.105924544797857E-4</v>
      </c>
      <c r="Q52" s="4">
        <f>Table13[[#This Row],[Issuer profit with unmarked-up level premium]]/Table13[[#This Row],[Issuer discounter at issue]]</f>
        <v>-1.8316360824698814E-4</v>
      </c>
      <c r="R52" s="4">
        <f>(Table13[[#This Row],[variable premium unmarked up]]*Table13[[#This Row],[unconditional persistency AT ISSUE]]-Table13[[#This Row],[Death benefit pay probability]])</f>
        <v>0</v>
      </c>
      <c r="S52" s="6">
        <f>Table13[[#This Row],[level premium unmarked-up]]*(1+$B$15)</f>
        <v>2.4615991981893799E-3</v>
      </c>
      <c r="T52" s="6">
        <f>MIN(Table13[[#This Row],[variable premium unmarked up]]*(1+$B$15),1)</f>
        <v>5.546145341744752E-3</v>
      </c>
      <c r="U52" s="6">
        <f>Table13[[#This Row],[level premium marked up]]-Table13[[#This Row],[variable premium marked up]]</f>
        <v>-3.0845461435553721E-3</v>
      </c>
      <c r="V52" s="6">
        <f>Table13[[#This Row],[additional cash]]+V51*(1+$D$2)</f>
        <v>2.5306605328906145E-2</v>
      </c>
      <c r="W52" s="12"/>
      <c r="X52" s="13"/>
      <c r="Y52" s="49"/>
      <c r="Z52" s="13"/>
      <c r="AA52" s="13"/>
      <c r="AB52" s="50"/>
      <c r="AC52" s="14"/>
      <c r="AD52" s="28"/>
      <c r="AE52" s="46"/>
      <c r="AF52" s="42"/>
      <c r="AG52" s="46"/>
      <c r="AH52" s="48"/>
      <c r="AI52" s="29"/>
      <c r="AJ52" s="29"/>
      <c r="AK52" s="57">
        <f>Table13[[#This Row],[level premium marked up]]*Table13[[#This Row],[unconditional survival NOW]]</f>
        <v>0</v>
      </c>
      <c r="AL52" s="62">
        <f>Table13[[#This Row],[cumulative debt until t]]*Table13[[#This Row],[Unconditional mortality NOW]]</f>
        <v>0</v>
      </c>
      <c r="AM52" s="47"/>
      <c r="AN52" s="58"/>
      <c r="AO52" s="47"/>
      <c r="AP52" s="46"/>
      <c r="AQ52" s="58"/>
      <c r="AR52" s="60"/>
      <c r="AS52" s="58"/>
    </row>
    <row r="53" spans="1:45" s="3" customFormat="1">
      <c r="A53" s="3">
        <v>57</v>
      </c>
      <c r="B53" s="8">
        <v>3.2000000000000001E-2</v>
      </c>
      <c r="C53" s="3">
        <v>0</v>
      </c>
      <c r="D53" s="12">
        <v>3.2000000000000001E-2</v>
      </c>
      <c r="E53" s="66">
        <v>5.9899999999999997E-3</v>
      </c>
      <c r="F53" s="13">
        <f>1-Table13[[#This Row],[one-year conditional mortality AT ISSUE]]</f>
        <v>0.99400999999999995</v>
      </c>
      <c r="G53" s="13">
        <f>PRODUCT(F$17:F53)</f>
        <v>0.93458617672902311</v>
      </c>
      <c r="H53" s="13">
        <f>Table13[[#This Row],[one-year conditional survival AT ISSUE]]*(1-Table13[[#This Row],[Lapse rate]])</f>
        <v>0.96220167999999995</v>
      </c>
      <c r="I53" s="13">
        <f>PRODUCT(H$17:H53)</f>
        <v>0.19046986433426541</v>
      </c>
      <c r="J53" s="13">
        <f>G52*Table13[[#This Row],[one-year conditional mortality AT ISSUE]]</f>
        <v>5.6319063174483635E-3</v>
      </c>
      <c r="K53" s="10">
        <f>I52*Table13[[#This Row],[one-year conditional mortality AT ISSUE]]</f>
        <v>1.185733210694716E-3</v>
      </c>
      <c r="L53" s="3">
        <f t="shared" si="0"/>
        <v>2.4615991981893799E-3</v>
      </c>
      <c r="M53" s="44">
        <f>Table13[[#This Row],[Death benefit pay probability]]/Table13[[#This Row],[unconditional persistency AT ISSUE]]</f>
        <v>6.2253061125397326E-3</v>
      </c>
      <c r="N53" s="44">
        <f>Table13[[#This Row],[one-year conditional mortality AT ISSUE]]/Table13[[#This Row],[one-year conditional persistency AT ISSUE]]</f>
        <v>6.2253061125397326E-3</v>
      </c>
      <c r="O53" s="4">
        <f>(1+$B$14)^(Table13[[#This Row],[age since issue]]-$A$17)</f>
        <v>3.4502661114559579</v>
      </c>
      <c r="P53" s="5">
        <f>(Table13[[#This Row],[level premium unmarked-up]]*Table13[[#This Row],[unconditional persistency AT ISSUE]]-Table13[[#This Row],[Death benefit pay probability]])</f>
        <v>-7.1687274537024829E-4</v>
      </c>
      <c r="Q53" s="4">
        <f>Table13[[#This Row],[Issuer profit with unmarked-up level premium]]/Table13[[#This Row],[Issuer discounter at issue]]</f>
        <v>-2.0777317523132711E-4</v>
      </c>
      <c r="R53" s="4">
        <f>(Table13[[#This Row],[variable premium unmarked up]]*Table13[[#This Row],[unconditional persistency AT ISSUE]]-Table13[[#This Row],[Death benefit pay probability]])</f>
        <v>0</v>
      </c>
      <c r="S53" s="6">
        <f>Table13[[#This Row],[level premium unmarked-up]]*(1+$B$15)</f>
        <v>2.4615991981893799E-3</v>
      </c>
      <c r="T53" s="6">
        <f>MIN(Table13[[#This Row],[variable premium unmarked up]]*(1+$B$15),1)</f>
        <v>6.2253061125397326E-3</v>
      </c>
      <c r="U53" s="6">
        <f>Table13[[#This Row],[level premium marked up]]-Table13[[#This Row],[variable premium marked up]]</f>
        <v>-3.7637069143503527E-3</v>
      </c>
      <c r="V53" s="6">
        <f>Table13[[#This Row],[additional cash]]+V52*(1+$D$2)</f>
        <v>2.1568205019884698E-2</v>
      </c>
      <c r="W53" s="12"/>
      <c r="X53" s="13"/>
      <c r="Y53" s="49"/>
      <c r="Z53" s="13"/>
      <c r="AA53" s="13"/>
      <c r="AB53" s="50"/>
      <c r="AC53" s="14"/>
      <c r="AD53" s="28"/>
      <c r="AE53" s="46"/>
      <c r="AF53" s="42"/>
      <c r="AG53" s="46"/>
      <c r="AH53" s="48"/>
      <c r="AI53" s="29"/>
      <c r="AJ53" s="29"/>
      <c r="AK53" s="57">
        <f>Table13[[#This Row],[level premium marked up]]*Table13[[#This Row],[unconditional survival NOW]]</f>
        <v>0</v>
      </c>
      <c r="AL53" s="62">
        <f>Table13[[#This Row],[cumulative debt until t]]*Table13[[#This Row],[Unconditional mortality NOW]]</f>
        <v>0</v>
      </c>
      <c r="AM53" s="47"/>
      <c r="AN53" s="58"/>
      <c r="AO53" s="47"/>
      <c r="AP53" s="46"/>
      <c r="AQ53" s="58"/>
      <c r="AR53" s="60"/>
      <c r="AS53" s="58"/>
    </row>
    <row r="54" spans="1:45" s="3" customFormat="1">
      <c r="A54" s="3">
        <v>58</v>
      </c>
      <c r="B54" s="8">
        <v>3.2000000000000001E-2</v>
      </c>
      <c r="C54" s="3">
        <v>0</v>
      </c>
      <c r="D54" s="12">
        <v>3.2000000000000001E-2</v>
      </c>
      <c r="E54" s="66">
        <v>6.6800000000000002E-3</v>
      </c>
      <c r="F54" s="13">
        <f>1-Table13[[#This Row],[one-year conditional mortality AT ISSUE]]</f>
        <v>0.99331999999999998</v>
      </c>
      <c r="G54" s="13">
        <f>PRODUCT(F$17:F54)</f>
        <v>0.92834314106847327</v>
      </c>
      <c r="H54" s="13">
        <f>Table13[[#This Row],[one-year conditional survival AT ISSUE]]*(1-Table13[[#This Row],[Lapse rate]])</f>
        <v>0.9615337599999999</v>
      </c>
      <c r="I54" s="13">
        <f>PRODUCT(H$17:H54)</f>
        <v>0.18314320482001609</v>
      </c>
      <c r="J54" s="13">
        <f>G53*Table13[[#This Row],[one-year conditional mortality AT ISSUE]]</f>
        <v>6.2430356605498744E-3</v>
      </c>
      <c r="K54" s="10">
        <f>I53*Table13[[#This Row],[one-year conditional mortality AT ISSUE]]</f>
        <v>1.2723386937528931E-3</v>
      </c>
      <c r="L54" s="3">
        <f t="shared" si="0"/>
        <v>2.4615991981893799E-3</v>
      </c>
      <c r="M54" s="44">
        <f>Table13[[#This Row],[Death benefit pay probability]]/Table13[[#This Row],[unconditional persistency AT ISSUE]]</f>
        <v>6.9472339691952177E-3</v>
      </c>
      <c r="N54" s="44">
        <f>Table13[[#This Row],[one-year conditional mortality AT ISSUE]]/Table13[[#This Row],[one-year conditional persistency AT ISSUE]]</f>
        <v>6.9472339691952168E-3</v>
      </c>
      <c r="O54" s="4">
        <f>(1+$B$14)^(Table13[[#This Row],[age since issue]]-$A$17)</f>
        <v>3.571025425356916</v>
      </c>
      <c r="P54" s="5">
        <f>(Table13[[#This Row],[level premium unmarked-up]]*Table13[[#This Row],[unconditional persistency AT ISSUE]]-Table13[[#This Row],[Death benefit pay probability]])</f>
        <v>-8.2151352761410806E-4</v>
      </c>
      <c r="Q54" s="4">
        <f>Table13[[#This Row],[Issuer profit with unmarked-up level premium]]/Table13[[#This Row],[Issuer discounter at issue]]</f>
        <v>-2.300497559554619E-4</v>
      </c>
      <c r="R54" s="4">
        <f>(Table13[[#This Row],[variable premium unmarked up]]*Table13[[#This Row],[unconditional persistency AT ISSUE]]-Table13[[#This Row],[Death benefit pay probability]])</f>
        <v>0</v>
      </c>
      <c r="S54" s="6">
        <f>Table13[[#This Row],[level premium unmarked-up]]*(1+$B$15)</f>
        <v>2.4615991981893799E-3</v>
      </c>
      <c r="T54" s="6">
        <f>MIN(Table13[[#This Row],[variable premium unmarked up]]*(1+$B$15),1)</f>
        <v>6.9472339691952177E-3</v>
      </c>
      <c r="U54" s="6">
        <f>Table13[[#This Row],[level premium marked up]]-Table13[[#This Row],[variable premium marked up]]</f>
        <v>-4.4856347710058378E-3</v>
      </c>
      <c r="V54" s="6">
        <f>Table13[[#This Row],[additional cash]]+V53*(1+$D$2)</f>
        <v>1.7104138453898743E-2</v>
      </c>
      <c r="W54" s="12"/>
      <c r="X54" s="13"/>
      <c r="Y54" s="49"/>
      <c r="Z54" s="13"/>
      <c r="AA54" s="13"/>
      <c r="AB54" s="50"/>
      <c r="AC54" s="14"/>
      <c r="AD54" s="28"/>
      <c r="AE54" s="46"/>
      <c r="AF54" s="42"/>
      <c r="AG54" s="46"/>
      <c r="AH54" s="48"/>
      <c r="AI54" s="29"/>
      <c r="AJ54" s="29"/>
      <c r="AK54" s="57">
        <f>Table13[[#This Row],[level premium marked up]]*Table13[[#This Row],[unconditional survival NOW]]</f>
        <v>0</v>
      </c>
      <c r="AL54" s="62">
        <f>Table13[[#This Row],[cumulative debt until t]]*Table13[[#This Row],[Unconditional mortality NOW]]</f>
        <v>0</v>
      </c>
      <c r="AM54" s="47"/>
      <c r="AN54" s="58"/>
      <c r="AO54" s="47"/>
      <c r="AP54" s="46"/>
      <c r="AQ54" s="58"/>
      <c r="AR54" s="60"/>
      <c r="AS54" s="58"/>
    </row>
    <row r="55" spans="1:45" s="3" customFormat="1">
      <c r="A55" s="3">
        <v>59</v>
      </c>
      <c r="B55" s="8">
        <v>3.2000000000000001E-2</v>
      </c>
      <c r="C55" s="3">
        <v>0</v>
      </c>
      <c r="D55" s="12">
        <v>3.2000000000000001E-2</v>
      </c>
      <c r="E55" s="66">
        <v>7.2399999999999999E-3</v>
      </c>
      <c r="F55" s="13">
        <f>1-Table13[[#This Row],[one-year conditional mortality AT ISSUE]]</f>
        <v>0.99275999999999998</v>
      </c>
      <c r="G55" s="13">
        <f>PRODUCT(F$17:F55)</f>
        <v>0.92162193672713755</v>
      </c>
      <c r="H55" s="13">
        <f>Table13[[#This Row],[one-year conditional survival AT ISSUE]]*(1-Table13[[#This Row],[Lapse rate]])</f>
        <v>0.9609916799999999</v>
      </c>
      <c r="I55" s="13">
        <f>PRODUCT(H$17:H55)</f>
        <v>0.17599909608057135</v>
      </c>
      <c r="J55" s="13">
        <f>G54*Table13[[#This Row],[one-year conditional mortality AT ISSUE]]</f>
        <v>6.7212043413357467E-3</v>
      </c>
      <c r="K55" s="10">
        <f>I54*Table13[[#This Row],[one-year conditional mortality AT ISSUE]]</f>
        <v>1.3259568028969164E-3</v>
      </c>
      <c r="L55" s="3">
        <f t="shared" si="0"/>
        <v>2.4615991981893799E-3</v>
      </c>
      <c r="M55" s="44">
        <f>Table13[[#This Row],[Death benefit pay probability]]/Table13[[#This Row],[unconditional persistency AT ISSUE]]</f>
        <v>7.5338841643249185E-3</v>
      </c>
      <c r="N55" s="44">
        <f>Table13[[#This Row],[one-year conditional mortality AT ISSUE]]/Table13[[#This Row],[one-year conditional persistency AT ISSUE]]</f>
        <v>7.5338841643249194E-3</v>
      </c>
      <c r="O55" s="4">
        <f>(1+$B$14)^(Table13[[#This Row],[age since issue]]-$A$17)</f>
        <v>3.6960113152444083</v>
      </c>
      <c r="P55" s="5">
        <f>(Table13[[#This Row],[level premium unmarked-up]]*Table13[[#This Row],[unconditional persistency AT ISSUE]]-Table13[[#This Row],[Death benefit pay probability]])</f>
        <v>-8.9271756910292636E-4</v>
      </c>
      <c r="Q55" s="4">
        <f>Table13[[#This Row],[Issuer profit with unmarked-up level premium]]/Table13[[#This Row],[Issuer discounter at issue]]</f>
        <v>-2.4153539936981852E-4</v>
      </c>
      <c r="R55" s="4">
        <f>(Table13[[#This Row],[variable premium unmarked up]]*Table13[[#This Row],[unconditional persistency AT ISSUE]]-Table13[[#This Row],[Death benefit pay probability]])</f>
        <v>0</v>
      </c>
      <c r="S55" s="6">
        <f>Table13[[#This Row],[level premium unmarked-up]]*(1+$B$15)</f>
        <v>2.4615991981893799E-3</v>
      </c>
      <c r="T55" s="6">
        <f>MIN(Table13[[#This Row],[variable premium unmarked up]]*(1+$B$15),1)</f>
        <v>7.5338841643249185E-3</v>
      </c>
      <c r="U55" s="6">
        <f>Table13[[#This Row],[level premium marked up]]-Table13[[#This Row],[variable premium marked up]]</f>
        <v>-5.0722849661355386E-3</v>
      </c>
      <c r="V55" s="6">
        <f>Table13[[#This Row],[additional cash]]+V54*(1+$D$2)</f>
        <v>1.2048957626217102E-2</v>
      </c>
      <c r="W55" s="12"/>
      <c r="X55" s="13"/>
      <c r="Y55" s="49"/>
      <c r="Z55" s="13"/>
      <c r="AA55" s="13"/>
      <c r="AB55" s="50"/>
      <c r="AC55" s="14"/>
      <c r="AD55" s="28"/>
      <c r="AE55" s="46"/>
      <c r="AF55" s="42"/>
      <c r="AG55" s="46"/>
      <c r="AH55" s="48"/>
      <c r="AI55" s="29"/>
      <c r="AJ55" s="29"/>
      <c r="AK55" s="57">
        <f>Table13[[#This Row],[level premium marked up]]*Table13[[#This Row],[unconditional survival NOW]]</f>
        <v>0</v>
      </c>
      <c r="AL55" s="62">
        <f>Table13[[#This Row],[cumulative debt until t]]*Table13[[#This Row],[Unconditional mortality NOW]]</f>
        <v>0</v>
      </c>
      <c r="AM55" s="47"/>
      <c r="AN55" s="58"/>
      <c r="AO55" s="47"/>
      <c r="AP55" s="46"/>
      <c r="AQ55" s="58"/>
      <c r="AR55" s="60"/>
      <c r="AS55" s="58"/>
    </row>
    <row r="56" spans="1:45" s="3" customFormat="1">
      <c r="A56" s="3">
        <v>60</v>
      </c>
      <c r="B56" s="8">
        <v>3.2000000000000001E-2</v>
      </c>
      <c r="C56" s="3">
        <v>0</v>
      </c>
      <c r="D56" s="12">
        <v>3.2000000000000001E-2</v>
      </c>
      <c r="E56" s="66">
        <v>7.8899999999999994E-3</v>
      </c>
      <c r="F56" s="13">
        <f>1-Table13[[#This Row],[one-year conditional mortality AT ISSUE]]</f>
        <v>0.99211000000000005</v>
      </c>
      <c r="G56" s="13">
        <f>PRODUCT(F$17:F56)</f>
        <v>0.91435033964636048</v>
      </c>
      <c r="H56" s="13">
        <f>Table13[[#This Row],[one-year conditional survival AT ISSUE]]*(1-Table13[[#This Row],[Lapse rate]])</f>
        <v>0.96036248000000002</v>
      </c>
      <c r="I56" s="13">
        <f>PRODUCT(H$17:H56)</f>
        <v>0.16902292838969579</v>
      </c>
      <c r="J56" s="13">
        <f>G55*Table13[[#This Row],[one-year conditional mortality AT ISSUE]]</f>
        <v>7.2715970807771145E-3</v>
      </c>
      <c r="K56" s="10">
        <f>I55*Table13[[#This Row],[one-year conditional mortality AT ISSUE]]</f>
        <v>1.3886328680757078E-3</v>
      </c>
      <c r="L56" s="3">
        <f t="shared" si="0"/>
        <v>2.4615991981893799E-3</v>
      </c>
      <c r="M56" s="44">
        <f>Table13[[#This Row],[Death benefit pay probability]]/Table13[[#This Row],[unconditional persistency AT ISSUE]]</f>
        <v>8.2156479082772984E-3</v>
      </c>
      <c r="N56" s="44">
        <f>Table13[[#This Row],[one-year conditional mortality AT ISSUE]]/Table13[[#This Row],[one-year conditional persistency AT ISSUE]]</f>
        <v>8.2156479082772984E-3</v>
      </c>
      <c r="O56" s="4">
        <f>(1+$B$14)^(Table13[[#This Row],[age since issue]]-$A$17)</f>
        <v>3.8253717112779619</v>
      </c>
      <c r="P56" s="5">
        <f>(Table13[[#This Row],[level premium unmarked-up]]*Table13[[#This Row],[unconditional persistency AT ISSUE]]-Table13[[#This Row],[Death benefit pay probability]])</f>
        <v>-9.7256616307601169E-4</v>
      </c>
      <c r="Q56" s="4">
        <f>Table13[[#This Row],[Issuer profit with unmarked-up level premium]]/Table13[[#This Row],[Issuer discounter at issue]]</f>
        <v>-2.5424095656082044E-4</v>
      </c>
      <c r="R56" s="4">
        <f>(Table13[[#This Row],[variable premium unmarked up]]*Table13[[#This Row],[unconditional persistency AT ISSUE]]-Table13[[#This Row],[Death benefit pay probability]])</f>
        <v>0</v>
      </c>
      <c r="S56" s="6">
        <f>Table13[[#This Row],[level premium unmarked-up]]*(1+$B$15)</f>
        <v>2.4615991981893799E-3</v>
      </c>
      <c r="T56" s="6">
        <f>MIN(Table13[[#This Row],[variable premium unmarked up]]*(1+$B$15),1)</f>
        <v>8.2156479082772984E-3</v>
      </c>
      <c r="U56" s="6">
        <f>Table13[[#This Row],[level premium marked up]]-Table13[[#This Row],[variable premium marked up]]</f>
        <v>-5.7540487100879185E-3</v>
      </c>
      <c r="V56" s="6">
        <f>Table13[[#This Row],[additional cash]]+V55*(1+$D$2)</f>
        <v>6.3069578737553981E-3</v>
      </c>
      <c r="W56" s="12"/>
      <c r="X56" s="13"/>
      <c r="Y56" s="49"/>
      <c r="Z56" s="13"/>
      <c r="AA56" s="13"/>
      <c r="AB56" s="50"/>
      <c r="AC56" s="14"/>
      <c r="AD56" s="28"/>
      <c r="AE56" s="46"/>
      <c r="AF56" s="42"/>
      <c r="AG56" s="46"/>
      <c r="AH56" s="48"/>
      <c r="AI56" s="29"/>
      <c r="AJ56" s="29"/>
      <c r="AK56" s="57">
        <f>Table13[[#This Row],[level premium marked up]]*Table13[[#This Row],[unconditional survival NOW]]</f>
        <v>0</v>
      </c>
      <c r="AL56" s="62">
        <f>Table13[[#This Row],[cumulative debt until t]]*Table13[[#This Row],[Unconditional mortality NOW]]</f>
        <v>0</v>
      </c>
      <c r="AM56" s="47"/>
      <c r="AN56" s="58"/>
      <c r="AO56" s="47"/>
      <c r="AP56" s="46"/>
      <c r="AQ56" s="58"/>
      <c r="AR56" s="60"/>
      <c r="AS56" s="58"/>
    </row>
    <row r="57" spans="1:45" s="3" customFormat="1">
      <c r="A57" s="3">
        <v>61</v>
      </c>
      <c r="B57" s="8">
        <v>3.2000000000000001E-2</v>
      </c>
      <c r="C57" s="3">
        <v>0</v>
      </c>
      <c r="D57" s="12">
        <v>3.2000000000000001E-2</v>
      </c>
      <c r="E57" s="66">
        <v>8.6800000000000002E-3</v>
      </c>
      <c r="F57" s="13">
        <f>1-Table13[[#This Row],[one-year conditional mortality AT ISSUE]]</f>
        <v>0.99131999999999998</v>
      </c>
      <c r="G57" s="13">
        <f>PRODUCT(F$17:F57)</f>
        <v>0.90641377869823003</v>
      </c>
      <c r="H57" s="13">
        <f>Table13[[#This Row],[one-year conditional survival AT ISSUE]]*(1-Table13[[#This Row],[Lapse rate]])</f>
        <v>0.95959775999999997</v>
      </c>
      <c r="I57" s="13">
        <f>PRODUCT(H$17:H57)</f>
        <v>0.16219402347139247</v>
      </c>
      <c r="J57" s="13">
        <f>G56*Table13[[#This Row],[one-year conditional mortality AT ISSUE]]</f>
        <v>7.9365609481304097E-3</v>
      </c>
      <c r="K57" s="10">
        <f>I56*Table13[[#This Row],[one-year conditional mortality AT ISSUE]]</f>
        <v>1.4671190184225595E-3</v>
      </c>
      <c r="L57" s="3">
        <f t="shared" si="0"/>
        <v>2.4615991981893799E-3</v>
      </c>
      <c r="M57" s="44">
        <f>Table13[[#This Row],[Death benefit pay probability]]/Table13[[#This Row],[unconditional persistency AT ISSUE]]</f>
        <v>9.0454567130294275E-3</v>
      </c>
      <c r="N57" s="44">
        <f>Table13[[#This Row],[one-year conditional mortality AT ISSUE]]/Table13[[#This Row],[one-year conditional persistency AT ISSUE]]</f>
        <v>9.0454567130294258E-3</v>
      </c>
      <c r="O57" s="4">
        <f>(1+$B$14)^(Table13[[#This Row],[age since issue]]-$A$17)</f>
        <v>3.9592597211726899</v>
      </c>
      <c r="P57" s="5">
        <f>(Table13[[#This Row],[level premium unmarked-up]]*Table13[[#This Row],[unconditional persistency AT ISSUE]]-Table13[[#This Row],[Death benefit pay probability]])</f>
        <v>-1.0678623402942703E-3</v>
      </c>
      <c r="Q57" s="4">
        <f>Table13[[#This Row],[Issuer profit with unmarked-up level premium]]/Table13[[#This Row],[Issuer discounter at issue]]</f>
        <v>-2.6971262698017223E-4</v>
      </c>
      <c r="R57" s="4">
        <f>(Table13[[#This Row],[variable premium unmarked up]]*Table13[[#This Row],[unconditional persistency AT ISSUE]]-Table13[[#This Row],[Death benefit pay probability]])</f>
        <v>0</v>
      </c>
      <c r="S57" s="6">
        <f>Table13[[#This Row],[level premium unmarked-up]]*(1+$B$15)</f>
        <v>2.4615991981893799E-3</v>
      </c>
      <c r="T57" s="6">
        <f>MIN(Table13[[#This Row],[variable premium unmarked up]]*(1+$B$15),1)</f>
        <v>9.0454567130294275E-3</v>
      </c>
      <c r="U57" s="6">
        <f>Table13[[#This Row],[level premium marked up]]-Table13[[#This Row],[variable premium marked up]]</f>
        <v>-6.5838575148400476E-3</v>
      </c>
      <c r="V57" s="6">
        <f>Table13[[#This Row],[additional cash]]+V56*(1+$D$2)</f>
        <v>-2.7059268321089503E-4</v>
      </c>
      <c r="W57" s="12"/>
      <c r="X57" s="13"/>
      <c r="Y57" s="49"/>
      <c r="Z57" s="13"/>
      <c r="AA57" s="13"/>
      <c r="AB57" s="50"/>
      <c r="AC57" s="14"/>
      <c r="AD57" s="28"/>
      <c r="AE57" s="46"/>
      <c r="AF57" s="42"/>
      <c r="AG57" s="46"/>
      <c r="AH57" s="48"/>
      <c r="AI57" s="29"/>
      <c r="AJ57" s="29"/>
      <c r="AK57" s="57">
        <f>Table13[[#This Row],[level premium marked up]]*Table13[[#This Row],[unconditional survival NOW]]</f>
        <v>0</v>
      </c>
      <c r="AL57" s="62">
        <f>Table13[[#This Row],[cumulative debt until t]]*Table13[[#This Row],[Unconditional mortality NOW]]</f>
        <v>0</v>
      </c>
      <c r="AM57" s="47"/>
      <c r="AN57" s="58"/>
      <c r="AO57" s="47"/>
      <c r="AP57" s="46"/>
      <c r="AQ57" s="58"/>
      <c r="AR57" s="60"/>
      <c r="AS57" s="58"/>
    </row>
    <row r="58" spans="1:45" s="3" customFormat="1">
      <c r="A58" s="3">
        <v>62</v>
      </c>
      <c r="B58" s="8">
        <v>3.2000000000000001E-2</v>
      </c>
      <c r="C58" s="3">
        <v>0</v>
      </c>
      <c r="D58" s="12">
        <v>3.2000000000000001E-2</v>
      </c>
      <c r="E58" s="66">
        <v>9.6699999999999998E-3</v>
      </c>
      <c r="F58" s="13">
        <f>1-Table13[[#This Row],[one-year conditional mortality AT ISSUE]]</f>
        <v>0.99033000000000004</v>
      </c>
      <c r="G58" s="13">
        <f>PRODUCT(F$17:F58)</f>
        <v>0.89764875745821815</v>
      </c>
      <c r="H58" s="13">
        <f>Table13[[#This Row],[one-year conditional survival AT ISSUE]]*(1-Table13[[#This Row],[Lapse rate]])</f>
        <v>0.95863944000000001</v>
      </c>
      <c r="I58" s="13">
        <f>PRODUCT(H$17:H58)</f>
        <v>0.15548558783196254</v>
      </c>
      <c r="J58" s="13">
        <f>G57*Table13[[#This Row],[one-year conditional mortality AT ISSUE]]</f>
        <v>8.7650212400118849E-3</v>
      </c>
      <c r="K58" s="10">
        <f>I57*Table13[[#This Row],[one-year conditional mortality AT ISSUE]]</f>
        <v>1.5684162069683652E-3</v>
      </c>
      <c r="L58" s="3">
        <f t="shared" si="0"/>
        <v>2.4615991981893799E-3</v>
      </c>
      <c r="M58" s="44">
        <f>Table13[[#This Row],[Death benefit pay probability]]/Table13[[#This Row],[unconditional persistency AT ISSUE]]</f>
        <v>1.008721276896348E-2</v>
      </c>
      <c r="N58" s="44">
        <f>Table13[[#This Row],[one-year conditional mortality AT ISSUE]]/Table13[[#This Row],[one-year conditional persistency AT ISSUE]]</f>
        <v>1.008721276896348E-2</v>
      </c>
      <c r="O58" s="4">
        <f>(1+$B$14)^(Table13[[#This Row],[age since issue]]-$A$17)</f>
        <v>4.0978338114137332</v>
      </c>
      <c r="P58" s="5">
        <f>(Table13[[#This Row],[level premium unmarked-up]]*Table13[[#This Row],[unconditional persistency AT ISSUE]]-Table13[[#This Row],[Death benefit pay probability]])</f>
        <v>-1.1856730086312018E-3</v>
      </c>
      <c r="Q58" s="4">
        <f>Table13[[#This Row],[Issuer profit with unmarked-up level premium]]/Table13[[#This Row],[Issuer discounter at issue]]</f>
        <v>-2.893414089484879E-4</v>
      </c>
      <c r="R58" s="4">
        <f>(Table13[[#This Row],[variable premium unmarked up]]*Table13[[#This Row],[unconditional persistency AT ISSUE]]-Table13[[#This Row],[Death benefit pay probability]])</f>
        <v>0</v>
      </c>
      <c r="S58" s="6">
        <f>Table13[[#This Row],[level premium unmarked-up]]*(1+$B$15)</f>
        <v>2.4615991981893799E-3</v>
      </c>
      <c r="T58" s="6">
        <f>MIN(Table13[[#This Row],[variable premium unmarked up]]*(1+$B$15),1)</f>
        <v>1.008721276896348E-2</v>
      </c>
      <c r="U58" s="6">
        <f>Table13[[#This Row],[level premium marked up]]-Table13[[#This Row],[variable premium marked up]]</f>
        <v>-7.6256135707740997E-3</v>
      </c>
      <c r="V58" s="6">
        <f>Table13[[#This Row],[additional cash]]+V57*(1+$D$2)</f>
        <v>-7.8964768466682055E-3</v>
      </c>
      <c r="W58" s="12"/>
      <c r="X58" s="13"/>
      <c r="Y58" s="49"/>
      <c r="Z58" s="13"/>
      <c r="AA58" s="13"/>
      <c r="AB58" s="50"/>
      <c r="AC58" s="14"/>
      <c r="AD58" s="28"/>
      <c r="AE58" s="46"/>
      <c r="AF58" s="42"/>
      <c r="AG58" s="46"/>
      <c r="AH58" s="48"/>
      <c r="AI58" s="29"/>
      <c r="AJ58" s="29"/>
      <c r="AK58" s="57">
        <f>Table13[[#This Row],[level premium marked up]]*Table13[[#This Row],[unconditional survival NOW]]</f>
        <v>0</v>
      </c>
      <c r="AL58" s="62">
        <f>Table13[[#This Row],[cumulative debt until t]]*Table13[[#This Row],[Unconditional mortality NOW]]</f>
        <v>0</v>
      </c>
      <c r="AM58" s="47"/>
      <c r="AN58" s="58"/>
      <c r="AO58" s="47"/>
      <c r="AP58" s="46"/>
      <c r="AQ58" s="58"/>
      <c r="AR58" s="60"/>
      <c r="AS58" s="58"/>
    </row>
    <row r="59" spans="1:45" s="3" customFormat="1">
      <c r="A59" s="3">
        <v>63</v>
      </c>
      <c r="B59" s="8">
        <v>3.2000000000000001E-2</v>
      </c>
      <c r="C59" s="3">
        <v>0</v>
      </c>
      <c r="D59" s="12">
        <v>3.2000000000000001E-2</v>
      </c>
      <c r="E59" s="66">
        <v>1.0880000000000001E-2</v>
      </c>
      <c r="F59" s="13">
        <f>1-Table13[[#This Row],[one-year conditional mortality AT ISSUE]]</f>
        <v>0.98912</v>
      </c>
      <c r="G59" s="13">
        <f>PRODUCT(F$17:F59)</f>
        <v>0.88788233897707269</v>
      </c>
      <c r="H59" s="13">
        <f>Table13[[#This Row],[one-year conditional survival AT ISSUE]]*(1-Table13[[#This Row],[Lapse rate]])</f>
        <v>0.95746816000000001</v>
      </c>
      <c r="I59" s="13">
        <f>PRODUCT(H$17:H59)</f>
        <v>0.14887249968798755</v>
      </c>
      <c r="J59" s="13">
        <f>G58*Table13[[#This Row],[one-year conditional mortality AT ISSUE]]</f>
        <v>9.7664184811454141E-3</v>
      </c>
      <c r="K59" s="10">
        <f>I58*Table13[[#This Row],[one-year conditional mortality AT ISSUE]]</f>
        <v>1.6916831956117525E-3</v>
      </c>
      <c r="L59" s="3">
        <f t="shared" si="0"/>
        <v>2.4615991981893799E-3</v>
      </c>
      <c r="M59" s="44">
        <f>Table13[[#This Row],[Death benefit pay probability]]/Table13[[#This Row],[unconditional persistency AT ISSUE]]</f>
        <v>1.1363302148867282E-2</v>
      </c>
      <c r="N59" s="44">
        <f>Table13[[#This Row],[one-year conditional mortality AT ISSUE]]/Table13[[#This Row],[one-year conditional persistency AT ISSUE]]</f>
        <v>1.136330214886728E-2</v>
      </c>
      <c r="O59" s="4">
        <f>(1+$B$14)^(Table13[[#This Row],[age since issue]]-$A$17)</f>
        <v>4.2412579948132141</v>
      </c>
      <c r="P59" s="5">
        <f>(Table13[[#This Row],[level premium unmarked-up]]*Table13[[#This Row],[unconditional persistency AT ISSUE]]-Table13[[#This Row],[Death benefit pay probability]])</f>
        <v>-1.3252187697473537E-3</v>
      </c>
      <c r="Q59" s="4">
        <f>Table13[[#This Row],[Issuer profit with unmarked-up level premium]]/Table13[[#This Row],[Issuer discounter at issue]]</f>
        <v>-3.1245889105732569E-4</v>
      </c>
      <c r="R59" s="4">
        <f>(Table13[[#This Row],[variable premium unmarked up]]*Table13[[#This Row],[unconditional persistency AT ISSUE]]-Table13[[#This Row],[Death benefit pay probability]])</f>
        <v>2.1684043449710089E-19</v>
      </c>
      <c r="S59" s="6">
        <f>Table13[[#This Row],[level premium unmarked-up]]*(1+$B$15)</f>
        <v>2.4615991981893799E-3</v>
      </c>
      <c r="T59" s="6">
        <f>MIN(Table13[[#This Row],[variable premium unmarked up]]*(1+$B$15),1)</f>
        <v>1.1363302148867282E-2</v>
      </c>
      <c r="U59" s="6">
        <f>Table13[[#This Row],[level premium marked up]]-Table13[[#This Row],[variable premium marked up]]</f>
        <v>-8.9017029506779019E-3</v>
      </c>
      <c r="V59" s="6">
        <f>Table13[[#This Row],[additional cash]]+V58*(1+$D$2)</f>
        <v>-1.6806076274192776E-2</v>
      </c>
      <c r="W59" s="12"/>
      <c r="X59" s="13"/>
      <c r="Y59" s="49"/>
      <c r="Z59" s="13"/>
      <c r="AA59" s="13"/>
      <c r="AB59" s="50"/>
      <c r="AC59" s="14"/>
      <c r="AD59" s="28"/>
      <c r="AE59" s="46"/>
      <c r="AF59" s="42"/>
      <c r="AG59" s="46"/>
      <c r="AH59" s="48"/>
      <c r="AI59" s="29"/>
      <c r="AJ59" s="29"/>
      <c r="AK59" s="57">
        <f>Table13[[#This Row],[level premium marked up]]*Table13[[#This Row],[unconditional survival NOW]]</f>
        <v>0</v>
      </c>
      <c r="AL59" s="62">
        <f>Table13[[#This Row],[cumulative debt until t]]*Table13[[#This Row],[Unconditional mortality NOW]]</f>
        <v>0</v>
      </c>
      <c r="AM59" s="47"/>
      <c r="AN59" s="58"/>
      <c r="AO59" s="47"/>
      <c r="AP59" s="46"/>
      <c r="AQ59" s="58"/>
      <c r="AR59" s="60"/>
      <c r="AS59" s="58"/>
    </row>
    <row r="60" spans="1:45" s="3" customFormat="1">
      <c r="A60" s="3">
        <v>64</v>
      </c>
      <c r="B60" s="8">
        <v>3.2000000000000001E-2</v>
      </c>
      <c r="C60" s="3">
        <v>0</v>
      </c>
      <c r="D60" s="12">
        <v>3.2000000000000001E-2</v>
      </c>
      <c r="E60" s="66">
        <v>1.2239999999999999E-2</v>
      </c>
      <c r="F60" s="13">
        <f>1-Table13[[#This Row],[one-year conditional mortality AT ISSUE]]</f>
        <v>0.98775999999999997</v>
      </c>
      <c r="G60" s="13">
        <f>PRODUCT(F$17:F60)</f>
        <v>0.87701465914799326</v>
      </c>
      <c r="H60" s="13">
        <f>Table13[[#This Row],[one-year conditional survival AT ISSUE]]*(1-Table13[[#This Row],[Lapse rate]])</f>
        <v>0.95615167999999995</v>
      </c>
      <c r="I60" s="13">
        <f>PRODUCT(H$17:H60)</f>
        <v>0.14234469068246877</v>
      </c>
      <c r="J60" s="13">
        <f>G59*Table13[[#This Row],[one-year conditional mortality AT ISSUE]]</f>
        <v>1.0867679829079369E-2</v>
      </c>
      <c r="K60" s="10">
        <f>I59*Table13[[#This Row],[one-year conditional mortality AT ISSUE]]</f>
        <v>1.8221993961809674E-3</v>
      </c>
      <c r="L60" s="3">
        <f t="shared" si="0"/>
        <v>2.4615991981893799E-3</v>
      </c>
      <c r="M60" s="44">
        <f>Table13[[#This Row],[Death benefit pay probability]]/Table13[[#This Row],[unconditional persistency AT ISSUE]]</f>
        <v>1.2801316209578797E-2</v>
      </c>
      <c r="N60" s="44">
        <f>Table13[[#This Row],[one-year conditional mortality AT ISSUE]]/Table13[[#This Row],[one-year conditional persistency AT ISSUE]]</f>
        <v>1.2801316209578799E-2</v>
      </c>
      <c r="O60" s="4">
        <f>(1+$B$14)^(Table13[[#This Row],[age since issue]]-$A$17)</f>
        <v>4.3897020246316769</v>
      </c>
      <c r="P60" s="5">
        <f>(Table13[[#This Row],[level premium unmarked-up]]*Table13[[#This Row],[unconditional persistency AT ISSUE]]-Table13[[#This Row],[Death benefit pay probability]])</f>
        <v>-1.4718038197304869E-3</v>
      </c>
      <c r="Q60" s="4">
        <f>Table13[[#This Row],[Issuer profit with unmarked-up level premium]]/Table13[[#This Row],[Issuer discounter at issue]]</f>
        <v>-3.3528558691953137E-4</v>
      </c>
      <c r="R60" s="4">
        <f>(Table13[[#This Row],[variable premium unmarked up]]*Table13[[#This Row],[unconditional persistency AT ISSUE]]-Table13[[#This Row],[Death benefit pay probability]])</f>
        <v>0</v>
      </c>
      <c r="S60" s="6">
        <f>Table13[[#This Row],[level premium unmarked-up]]*(1+$B$15)</f>
        <v>2.4615991981893799E-3</v>
      </c>
      <c r="T60" s="6">
        <f>MIN(Table13[[#This Row],[variable premium unmarked up]]*(1+$B$15),1)</f>
        <v>1.2801316209578797E-2</v>
      </c>
      <c r="U60" s="6">
        <f>Table13[[#This Row],[level premium marked up]]-Table13[[#This Row],[variable premium marked up]]</f>
        <v>-1.0339717011389417E-2</v>
      </c>
      <c r="V60" s="6">
        <f>Table13[[#This Row],[additional cash]]+V59*(1+$D$2)</f>
        <v>-2.7162599361856381E-2</v>
      </c>
      <c r="W60" s="12"/>
      <c r="X60" s="13"/>
      <c r="Y60" s="49"/>
      <c r="Z60" s="13"/>
      <c r="AA60" s="13"/>
      <c r="AB60" s="50"/>
      <c r="AC60" s="14"/>
      <c r="AD60" s="28"/>
      <c r="AE60" s="46"/>
      <c r="AF60" s="42"/>
      <c r="AG60" s="46"/>
      <c r="AH60" s="48"/>
      <c r="AI60" s="29"/>
      <c r="AJ60" s="29"/>
      <c r="AK60" s="57">
        <f>Table13[[#This Row],[level premium marked up]]*Table13[[#This Row],[unconditional survival NOW]]</f>
        <v>0</v>
      </c>
      <c r="AL60" s="62">
        <f>Table13[[#This Row],[cumulative debt until t]]*Table13[[#This Row],[Unconditional mortality NOW]]</f>
        <v>0</v>
      </c>
      <c r="AM60" s="47"/>
      <c r="AN60" s="58"/>
      <c r="AO60" s="47"/>
      <c r="AP60" s="46"/>
      <c r="AQ60" s="58"/>
      <c r="AR60" s="60"/>
      <c r="AS60" s="58"/>
    </row>
    <row r="61" spans="1:45" s="3" customFormat="1">
      <c r="A61" s="3">
        <v>65</v>
      </c>
      <c r="B61" s="8">
        <v>3.2000000000000001E-2</v>
      </c>
      <c r="C61" s="3">
        <v>0</v>
      </c>
      <c r="D61" s="12">
        <v>3.2000000000000001E-2</v>
      </c>
      <c r="E61" s="66">
        <v>1.366E-2</v>
      </c>
      <c r="F61" s="13">
        <f>1-Table13[[#This Row],[one-year conditional mortality AT ISSUE]]</f>
        <v>0.98633999999999999</v>
      </c>
      <c r="G61" s="13">
        <f>PRODUCT(F$17:F61)</f>
        <v>0.86503463890403165</v>
      </c>
      <c r="H61" s="13">
        <f>Table13[[#This Row],[one-year conditional survival AT ISSUE]]*(1-Table13[[#This Row],[Lapse rate]])</f>
        <v>0.95477711999999992</v>
      </c>
      <c r="I61" s="13">
        <f>PRODUCT(H$17:H61)</f>
        <v>0.13590745381709834</v>
      </c>
      <c r="J61" s="13">
        <f>G60*Table13[[#This Row],[one-year conditional mortality AT ISSUE]]</f>
        <v>1.1980020243961588E-2</v>
      </c>
      <c r="K61" s="10">
        <f>I60*Table13[[#This Row],[one-year conditional mortality AT ISSUE]]</f>
        <v>1.9444284747225234E-3</v>
      </c>
      <c r="L61" s="3">
        <f t="shared" si="0"/>
        <v>2.4615991981893799E-3</v>
      </c>
      <c r="M61" s="44">
        <f>Table13[[#This Row],[Death benefit pay probability]]/Table13[[#This Row],[unconditional persistency AT ISSUE]]</f>
        <v>1.4307003921501599E-2</v>
      </c>
      <c r="N61" s="44">
        <f>Table13[[#This Row],[one-year conditional mortality AT ISSUE]]/Table13[[#This Row],[one-year conditional persistency AT ISSUE]]</f>
        <v>1.4307003921501598E-2</v>
      </c>
      <c r="O61" s="4">
        <f>(1+$B$14)^(Table13[[#This Row],[age since issue]]-$A$17)</f>
        <v>4.5433415954937848</v>
      </c>
      <c r="P61" s="5">
        <f>(Table13[[#This Row],[level premium unmarked-up]]*Table13[[#This Row],[unconditional persistency AT ISSUE]]-Table13[[#This Row],[Death benefit pay probability]])</f>
        <v>-1.6098787953783939E-3</v>
      </c>
      <c r="Q61" s="4">
        <f>Table13[[#This Row],[Issuer profit with unmarked-up level premium]]/Table13[[#This Row],[Issuer discounter at issue]]</f>
        <v>-3.5433804866777293E-4</v>
      </c>
      <c r="R61" s="4">
        <f>(Table13[[#This Row],[variable premium unmarked up]]*Table13[[#This Row],[unconditional persistency AT ISSUE]]-Table13[[#This Row],[Death benefit pay probability]])</f>
        <v>0</v>
      </c>
      <c r="S61" s="6">
        <f>Table13[[#This Row],[level premium unmarked-up]]*(1+$B$15)</f>
        <v>2.4615991981893799E-3</v>
      </c>
      <c r="T61" s="6">
        <f>MIN(Table13[[#This Row],[variable premium unmarked up]]*(1+$B$15),1)</f>
        <v>1.4307003921501599E-2</v>
      </c>
      <c r="U61" s="6">
        <f>Table13[[#This Row],[level premium marked up]]-Table13[[#This Row],[variable premium marked up]]</f>
        <v>-1.1845404723312219E-2</v>
      </c>
      <c r="V61" s="6">
        <f>Table13[[#This Row],[additional cash]]+V60*(1+$D$2)</f>
        <v>-3.9035166684530456E-2</v>
      </c>
      <c r="W61" s="12"/>
      <c r="X61" s="13"/>
      <c r="Y61" s="49"/>
      <c r="Z61" s="13"/>
      <c r="AA61" s="13"/>
      <c r="AB61" s="50"/>
      <c r="AC61" s="14"/>
      <c r="AD61" s="28"/>
      <c r="AE61" s="46"/>
      <c r="AF61" s="42"/>
      <c r="AG61" s="46"/>
      <c r="AH61" s="48"/>
      <c r="AI61" s="29"/>
      <c r="AJ61" s="29"/>
      <c r="AK61" s="57">
        <f>Table13[[#This Row],[level premium marked up]]*Table13[[#This Row],[unconditional survival NOW]]</f>
        <v>0</v>
      </c>
      <c r="AL61" s="62">
        <f>Table13[[#This Row],[cumulative debt until t]]*Table13[[#This Row],[Unconditional mortality NOW]]</f>
        <v>0</v>
      </c>
      <c r="AM61" s="47"/>
      <c r="AN61" s="58"/>
      <c r="AO61" s="47"/>
      <c r="AP61" s="46"/>
      <c r="AQ61" s="58"/>
      <c r="AR61" s="60"/>
      <c r="AS61" s="58"/>
    </row>
    <row r="62" spans="1:45" s="3" customFormat="1">
      <c r="A62" s="3">
        <v>66</v>
      </c>
      <c r="B62" s="8">
        <v>3.2000000000000001E-2</v>
      </c>
      <c r="C62" s="3">
        <v>0</v>
      </c>
      <c r="D62" s="12">
        <v>3.2000000000000001E-2</v>
      </c>
      <c r="E62" s="66">
        <v>1.515E-2</v>
      </c>
      <c r="F62" s="13">
        <f>1-Table13[[#This Row],[one-year conditional mortality AT ISSUE]]</f>
        <v>0.98485</v>
      </c>
      <c r="G62" s="13">
        <f>PRODUCT(F$17:F62)</f>
        <v>0.8519293641246356</v>
      </c>
      <c r="H62" s="13">
        <f>Table13[[#This Row],[one-year conditional survival AT ISSUE]]*(1-Table13[[#This Row],[Lapse rate]])</f>
        <v>0.95333479999999993</v>
      </c>
      <c r="I62" s="13">
        <f>PRODUCT(H$17:H62)</f>
        <v>0.12956530530323268</v>
      </c>
      <c r="J62" s="13">
        <f>G61*Table13[[#This Row],[one-year conditional mortality AT ISSUE]]</f>
        <v>1.3105274779396079E-2</v>
      </c>
      <c r="K62" s="10">
        <f>I61*Table13[[#This Row],[one-year conditional mortality AT ISSUE]]</f>
        <v>2.0589979253290399E-3</v>
      </c>
      <c r="L62" s="3">
        <f t="shared" si="0"/>
        <v>2.4615991981893799E-3</v>
      </c>
      <c r="M62" s="44">
        <f>Table13[[#This Row],[Death benefit pay probability]]/Table13[[#This Row],[unconditional persistency AT ISSUE]]</f>
        <v>1.589158394301771E-2</v>
      </c>
      <c r="N62" s="44">
        <f>Table13[[#This Row],[one-year conditional mortality AT ISSUE]]/Table13[[#This Row],[one-year conditional persistency AT ISSUE]]</f>
        <v>1.589158394301771E-2</v>
      </c>
      <c r="O62" s="4">
        <f>(1+$B$14)^(Table13[[#This Row],[age since issue]]-$A$17)</f>
        <v>4.7023585513360668</v>
      </c>
      <c r="P62" s="5">
        <f>(Table13[[#This Row],[level premium unmarked-up]]*Table13[[#This Row],[unconditional persistency AT ISSUE]]-Table13[[#This Row],[Death benefit pay probability]])</f>
        <v>-1.7400600736814402E-3</v>
      </c>
      <c r="Q62" s="4">
        <f>Table13[[#This Row],[Issuer profit with unmarked-up level premium]]/Table13[[#This Row],[Issuer discounter at issue]]</f>
        <v>-3.7003985440179634E-4</v>
      </c>
      <c r="R62" s="4">
        <f>(Table13[[#This Row],[variable premium unmarked up]]*Table13[[#This Row],[unconditional persistency AT ISSUE]]-Table13[[#This Row],[Death benefit pay probability]])</f>
        <v>0</v>
      </c>
      <c r="S62" s="6">
        <f>Table13[[#This Row],[level premium unmarked-up]]*(1+$B$15)</f>
        <v>2.4615991981893799E-3</v>
      </c>
      <c r="T62" s="6">
        <f>MIN(Table13[[#This Row],[variable premium unmarked up]]*(1+$B$15),1)</f>
        <v>1.589158394301771E-2</v>
      </c>
      <c r="U62" s="6">
        <f>Table13[[#This Row],[level premium marked up]]-Table13[[#This Row],[variable premium marked up]]</f>
        <v>-1.342998474482833E-2</v>
      </c>
      <c r="V62" s="6">
        <f>Table13[[#This Row],[additional cash]]+V61*(1+$D$2)</f>
        <v>-5.2504186596043313E-2</v>
      </c>
      <c r="W62" s="12"/>
      <c r="X62" s="13"/>
      <c r="Y62" s="49"/>
      <c r="Z62" s="13"/>
      <c r="AA62" s="13"/>
      <c r="AB62" s="50"/>
      <c r="AC62" s="14"/>
      <c r="AD62" s="28"/>
      <c r="AE62" s="46"/>
      <c r="AF62" s="42"/>
      <c r="AG62" s="46"/>
      <c r="AH62" s="48"/>
      <c r="AI62" s="29"/>
      <c r="AJ62" s="29"/>
      <c r="AK62" s="57">
        <f>Table13[[#This Row],[level premium marked up]]*Table13[[#This Row],[unconditional survival NOW]]</f>
        <v>0</v>
      </c>
      <c r="AL62" s="62">
        <f>Table13[[#This Row],[cumulative debt until t]]*Table13[[#This Row],[Unconditional mortality NOW]]</f>
        <v>0</v>
      </c>
      <c r="AM62" s="47"/>
      <c r="AN62" s="58"/>
      <c r="AO62" s="47"/>
      <c r="AP62" s="46"/>
      <c r="AQ62" s="58"/>
      <c r="AR62" s="60"/>
      <c r="AS62" s="58"/>
    </row>
    <row r="63" spans="1:45" s="3" customFormat="1">
      <c r="A63" s="3">
        <v>67</v>
      </c>
      <c r="B63" s="8">
        <v>3.2000000000000001E-2</v>
      </c>
      <c r="C63" s="3">
        <v>0</v>
      </c>
      <c r="D63" s="12">
        <v>3.2000000000000001E-2</v>
      </c>
      <c r="E63" s="66">
        <v>1.6629999999999999E-2</v>
      </c>
      <c r="F63" s="13">
        <f>1-Table13[[#This Row],[one-year conditional mortality AT ISSUE]]</f>
        <v>0.98336999999999997</v>
      </c>
      <c r="G63" s="13">
        <f>PRODUCT(F$17:F63)</f>
        <v>0.83776177879924285</v>
      </c>
      <c r="H63" s="13">
        <f>Table13[[#This Row],[one-year conditional survival AT ISSUE]]*(1-Table13[[#This Row],[Lapse rate]])</f>
        <v>0.95190215999999994</v>
      </c>
      <c r="I63" s="13">
        <f>PRODUCT(H$17:H63)</f>
        <v>0.12333349397920663</v>
      </c>
      <c r="J63" s="13">
        <f>G62*Table13[[#This Row],[one-year conditional mortality AT ISSUE]]</f>
        <v>1.4167585325392688E-2</v>
      </c>
      <c r="K63" s="10">
        <f>I62*Table13[[#This Row],[one-year conditional mortality AT ISSUE]]</f>
        <v>2.1546710271927593E-3</v>
      </c>
      <c r="L63" s="3">
        <f t="shared" si="0"/>
        <v>2.4615991981893799E-3</v>
      </c>
      <c r="M63" s="44">
        <f>Table13[[#This Row],[Death benefit pay probability]]/Table13[[#This Row],[unconditional persistency AT ISSUE]]</f>
        <v>1.7470282870247926E-2</v>
      </c>
      <c r="N63" s="44">
        <f>Table13[[#This Row],[one-year conditional mortality AT ISSUE]]/Table13[[#This Row],[one-year conditional persistency AT ISSUE]]</f>
        <v>1.7470282870247926E-2</v>
      </c>
      <c r="O63" s="4">
        <f>(1+$B$14)^(Table13[[#This Row],[age since issue]]-$A$17)</f>
        <v>4.8669411006328298</v>
      </c>
      <c r="P63" s="5">
        <f>(Table13[[#This Row],[level premium unmarked-up]]*Table13[[#This Row],[unconditional persistency AT ISSUE]]-Table13[[#This Row],[Death benefit pay probability]])</f>
        <v>-1.8510733973036496E-3</v>
      </c>
      <c r="Q63" s="4">
        <f>Table13[[#This Row],[Issuer profit with unmarked-up level premium]]/Table13[[#This Row],[Issuer discounter at issue]]</f>
        <v>-3.8033610003272109E-4</v>
      </c>
      <c r="R63" s="4">
        <f>(Table13[[#This Row],[variable premium unmarked up]]*Table13[[#This Row],[unconditional persistency AT ISSUE]]-Table13[[#This Row],[Death benefit pay probability]])</f>
        <v>0</v>
      </c>
      <c r="S63" s="6">
        <f>Table13[[#This Row],[level premium unmarked-up]]*(1+$B$15)</f>
        <v>2.4615991981893799E-3</v>
      </c>
      <c r="T63" s="6">
        <f>MIN(Table13[[#This Row],[variable premium unmarked up]]*(1+$B$15),1)</f>
        <v>1.7470282870247926E-2</v>
      </c>
      <c r="U63" s="6">
        <f>Table13[[#This Row],[level premium marked up]]-Table13[[#This Row],[variable premium marked up]]</f>
        <v>-1.5008683672058546E-2</v>
      </c>
      <c r="V63" s="6">
        <f>Table13[[#This Row],[additional cash]]+V62*(1+$D$2)</f>
        <v>-6.7565374454697902E-2</v>
      </c>
      <c r="W63" s="12"/>
      <c r="X63" s="13"/>
      <c r="Y63" s="49"/>
      <c r="Z63" s="13"/>
      <c r="AA63" s="13"/>
      <c r="AB63" s="50"/>
      <c r="AC63" s="14"/>
      <c r="AD63" s="28"/>
      <c r="AE63" s="46"/>
      <c r="AF63" s="42"/>
      <c r="AG63" s="46"/>
      <c r="AH63" s="48"/>
      <c r="AI63" s="29"/>
      <c r="AJ63" s="29"/>
      <c r="AK63" s="57">
        <f>Table13[[#This Row],[level premium marked up]]*Table13[[#This Row],[unconditional survival NOW]]</f>
        <v>0</v>
      </c>
      <c r="AL63" s="62">
        <f>Table13[[#This Row],[cumulative debt until t]]*Table13[[#This Row],[Unconditional mortality NOW]]</f>
        <v>0</v>
      </c>
      <c r="AM63" s="47"/>
      <c r="AN63" s="58"/>
      <c r="AO63" s="47"/>
      <c r="AP63" s="46"/>
      <c r="AQ63" s="58"/>
      <c r="AR63" s="60"/>
      <c r="AS63" s="58"/>
    </row>
    <row r="64" spans="1:45" s="3" customFormat="1">
      <c r="A64" s="3">
        <v>68</v>
      </c>
      <c r="B64" s="8">
        <v>3.2000000000000001E-2</v>
      </c>
      <c r="C64" s="3">
        <v>0</v>
      </c>
      <c r="D64" s="12">
        <v>3.2000000000000001E-2</v>
      </c>
      <c r="E64" s="66">
        <v>1.8110000000000001E-2</v>
      </c>
      <c r="F64" s="13">
        <f>1-Table13[[#This Row],[one-year conditional mortality AT ISSUE]]</f>
        <v>0.98189000000000004</v>
      </c>
      <c r="G64" s="13">
        <f>PRODUCT(F$17:F64)</f>
        <v>0.82258991298518858</v>
      </c>
      <c r="H64" s="13">
        <f>Table13[[#This Row],[one-year conditional survival AT ISSUE]]*(1-Table13[[#This Row],[Lapse rate]])</f>
        <v>0.95046951999999996</v>
      </c>
      <c r="I64" s="13">
        <f>PRODUCT(H$17:H64)</f>
        <v>0.11722472682233942</v>
      </c>
      <c r="J64" s="13">
        <f>G63*Table13[[#This Row],[one-year conditional mortality AT ISSUE]]</f>
        <v>1.5171865814054289E-2</v>
      </c>
      <c r="K64" s="10">
        <f>I63*Table13[[#This Row],[one-year conditional mortality AT ISSUE]]</f>
        <v>2.2335695759634322E-3</v>
      </c>
      <c r="L64" s="3">
        <f t="shared" si="0"/>
        <v>2.4615991981893799E-3</v>
      </c>
      <c r="M64" s="44">
        <f>Table13[[#This Row],[Death benefit pay probability]]/Table13[[#This Row],[unconditional persistency AT ISSUE]]</f>
        <v>1.9053740934270043E-2</v>
      </c>
      <c r="N64" s="44">
        <f>Table13[[#This Row],[one-year conditional mortality AT ISSUE]]/Table13[[#This Row],[one-year conditional persistency AT ISSUE]]</f>
        <v>1.9053740934270046E-2</v>
      </c>
      <c r="O64" s="4">
        <f>(1+$B$14)^(Table13[[#This Row],[age since issue]]-$A$17)</f>
        <v>5.0372840391549776</v>
      </c>
      <c r="P64" s="5">
        <f>(Table13[[#This Row],[level premium unmarked-up]]*Table13[[#This Row],[unconditional persistency AT ISSUE]]-Table13[[#This Row],[Death benefit pay probability]])</f>
        <v>-1.9450092824095924E-3</v>
      </c>
      <c r="Q64" s="4">
        <f>Table13[[#This Row],[Issuer profit with unmarked-up level premium]]/Table13[[#This Row],[Issuer discounter at issue]]</f>
        <v>-3.8612261434752736E-4</v>
      </c>
      <c r="R64" s="4">
        <f>(Table13[[#This Row],[variable premium unmarked up]]*Table13[[#This Row],[unconditional persistency AT ISSUE]]-Table13[[#This Row],[Death benefit pay probability]])</f>
        <v>0</v>
      </c>
      <c r="S64" s="6">
        <f>Table13[[#This Row],[level premium unmarked-up]]*(1+$B$15)</f>
        <v>2.4615991981893799E-3</v>
      </c>
      <c r="T64" s="6">
        <f>MIN(Table13[[#This Row],[variable premium unmarked up]]*(1+$B$15),1)</f>
        <v>1.9053740934270043E-2</v>
      </c>
      <c r="U64" s="6">
        <f>Table13[[#This Row],[level premium marked up]]-Table13[[#This Row],[variable premium marked up]]</f>
        <v>-1.6592141736080663E-2</v>
      </c>
      <c r="V64" s="6">
        <f>Table13[[#This Row],[additional cash]]+V63*(1+$D$2)</f>
        <v>-8.4225081565233256E-2</v>
      </c>
      <c r="W64" s="12"/>
      <c r="X64" s="13"/>
      <c r="Y64" s="49"/>
      <c r="Z64" s="13"/>
      <c r="AA64" s="13"/>
      <c r="AB64" s="50"/>
      <c r="AC64" s="14"/>
      <c r="AD64" s="28"/>
      <c r="AE64" s="46"/>
      <c r="AF64" s="42"/>
      <c r="AG64" s="46"/>
      <c r="AH64" s="48"/>
      <c r="AI64" s="29"/>
      <c r="AJ64" s="29"/>
      <c r="AK64" s="57">
        <f>Table13[[#This Row],[level premium marked up]]*Table13[[#This Row],[unconditional survival NOW]]</f>
        <v>0</v>
      </c>
      <c r="AL64" s="62">
        <f>Table13[[#This Row],[cumulative debt until t]]*Table13[[#This Row],[Unconditional mortality NOW]]</f>
        <v>0</v>
      </c>
      <c r="AM64" s="47"/>
      <c r="AN64" s="58"/>
      <c r="AO64" s="47"/>
      <c r="AP64" s="46"/>
      <c r="AQ64" s="58"/>
      <c r="AR64" s="60"/>
      <c r="AS64" s="58"/>
    </row>
    <row r="65" spans="1:45" s="3" customFormat="1">
      <c r="A65" s="3">
        <v>69</v>
      </c>
      <c r="B65" s="8">
        <v>3.2000000000000001E-2</v>
      </c>
      <c r="C65" s="3">
        <v>0</v>
      </c>
      <c r="D65" s="12">
        <v>3.2000000000000001E-2</v>
      </c>
      <c r="E65" s="66">
        <v>1.9709999999999998E-2</v>
      </c>
      <c r="F65" s="13">
        <f>1-Table13[[#This Row],[one-year conditional mortality AT ISSUE]]</f>
        <v>0.98028999999999999</v>
      </c>
      <c r="G65" s="13">
        <f>PRODUCT(F$17:F65)</f>
        <v>0.80637666580025047</v>
      </c>
      <c r="H65" s="13">
        <f>Table13[[#This Row],[one-year conditional survival AT ISSUE]]*(1-Table13[[#This Row],[Lapse rate]])</f>
        <v>0.94892071999999994</v>
      </c>
      <c r="I65" s="13">
        <f>PRODUCT(H$17:H65)</f>
        <v>0.11123697217805763</v>
      </c>
      <c r="J65" s="13">
        <f>G64*Table13[[#This Row],[one-year conditional mortality AT ISSUE]]</f>
        <v>1.6213247184938065E-2</v>
      </c>
      <c r="K65" s="10">
        <f>I64*Table13[[#This Row],[one-year conditional mortality AT ISSUE]]</f>
        <v>2.3104993656683096E-3</v>
      </c>
      <c r="L65" s="3">
        <f t="shared" si="0"/>
        <v>2.4615991981893799E-3</v>
      </c>
      <c r="M65" s="44">
        <f>Table13[[#This Row],[Death benefit pay probability]]/Table13[[#This Row],[unconditional persistency AT ISSUE]]</f>
        <v>2.0770965987548462E-2</v>
      </c>
      <c r="N65" s="44">
        <f>Table13[[#This Row],[one-year conditional mortality AT ISSUE]]/Table13[[#This Row],[one-year conditional persistency AT ISSUE]]</f>
        <v>2.0770965987548465E-2</v>
      </c>
      <c r="O65" s="4">
        <f>(1+$B$14)^(Table13[[#This Row],[age since issue]]-$A$17)</f>
        <v>5.213588980525401</v>
      </c>
      <c r="P65" s="5">
        <f>(Table13[[#This Row],[level premium unmarked-up]]*Table13[[#This Row],[unconditional persistency AT ISSUE]]-Table13[[#This Row],[Death benefit pay probability]])</f>
        <v>-2.0366785241457885E-3</v>
      </c>
      <c r="Q65" s="4">
        <f>Table13[[#This Row],[Issuer profit with unmarked-up level premium]]/Table13[[#This Row],[Issuer discounter at issue]]</f>
        <v>-3.9064807980711622E-4</v>
      </c>
      <c r="R65" s="4">
        <f>(Table13[[#This Row],[variable premium unmarked up]]*Table13[[#This Row],[unconditional persistency AT ISSUE]]-Table13[[#This Row],[Death benefit pay probability]])</f>
        <v>0</v>
      </c>
      <c r="S65" s="6">
        <f>Table13[[#This Row],[level premium unmarked-up]]*(1+$B$15)</f>
        <v>2.4615991981893799E-3</v>
      </c>
      <c r="T65" s="6">
        <f>MIN(Table13[[#This Row],[variable premium unmarked up]]*(1+$B$15),1)</f>
        <v>2.0770965987548462E-2</v>
      </c>
      <c r="U65" s="6">
        <f>Table13[[#This Row],[level premium marked up]]-Table13[[#This Row],[variable premium marked up]]</f>
        <v>-1.8309366789359082E-2</v>
      </c>
      <c r="V65" s="6">
        <f>Table13[[#This Row],[additional cash]]+V64*(1+$D$2)</f>
        <v>-0.10261867343615756</v>
      </c>
      <c r="W65" s="12"/>
      <c r="X65" s="13"/>
      <c r="Y65" s="49"/>
      <c r="Z65" s="13"/>
      <c r="AA65" s="13"/>
      <c r="AB65" s="50"/>
      <c r="AC65" s="14"/>
      <c r="AD65" s="28"/>
      <c r="AE65" s="46"/>
      <c r="AF65" s="42"/>
      <c r="AG65" s="46"/>
      <c r="AH65" s="48"/>
      <c r="AI65" s="29"/>
      <c r="AJ65" s="29"/>
      <c r="AK65" s="57">
        <f>Table13[[#This Row],[level premium marked up]]*Table13[[#This Row],[unconditional survival NOW]]</f>
        <v>0</v>
      </c>
      <c r="AL65" s="62">
        <f>Table13[[#This Row],[cumulative debt until t]]*Table13[[#This Row],[Unconditional mortality NOW]]</f>
        <v>0</v>
      </c>
      <c r="AM65" s="47"/>
      <c r="AN65" s="58"/>
      <c r="AO65" s="47"/>
      <c r="AP65" s="46"/>
      <c r="AQ65" s="58"/>
      <c r="AR65" s="60"/>
      <c r="AS65" s="58"/>
    </row>
    <row r="66" spans="1:45" s="3" customFormat="1">
      <c r="A66" s="3">
        <v>70</v>
      </c>
      <c r="B66" s="8">
        <v>3.2000000000000001E-2</v>
      </c>
      <c r="C66" s="3">
        <v>0</v>
      </c>
      <c r="D66" s="12">
        <v>3.2000000000000001E-2</v>
      </c>
      <c r="E66" s="66">
        <v>2.1329999999999998E-2</v>
      </c>
      <c r="F66" s="13">
        <f>1-Table13[[#This Row],[one-year conditional mortality AT ISSUE]]</f>
        <v>0.97867000000000004</v>
      </c>
      <c r="G66" s="13">
        <f>PRODUCT(F$17:F66)</f>
        <v>0.78917665151873118</v>
      </c>
      <c r="H66" s="13">
        <f>Table13[[#This Row],[one-year conditional survival AT ISSUE]]*(1-Table13[[#This Row],[Lapse rate]])</f>
        <v>0.94735256000000001</v>
      </c>
      <c r="I66" s="13">
        <f>PRODUCT(H$17:H66)</f>
        <v>0.10538063035953167</v>
      </c>
      <c r="J66" s="13">
        <f>G65*Table13[[#This Row],[one-year conditional mortality AT ISSUE]]</f>
        <v>1.7200014281519342E-2</v>
      </c>
      <c r="K66" s="10">
        <f>I65*Table13[[#This Row],[one-year conditional mortality AT ISSUE]]</f>
        <v>2.3726846165579691E-3</v>
      </c>
      <c r="L66" s="3">
        <f t="shared" si="0"/>
        <v>2.4615991981893799E-3</v>
      </c>
      <c r="M66" s="44">
        <f>Table13[[#This Row],[Death benefit pay probability]]/Table13[[#This Row],[unconditional persistency AT ISSUE]]</f>
        <v>2.2515376957444436E-2</v>
      </c>
      <c r="N66" s="44">
        <f>Table13[[#This Row],[one-year conditional mortality AT ISSUE]]/Table13[[#This Row],[one-year conditional persistency AT ISSUE]]</f>
        <v>2.2515376957444436E-2</v>
      </c>
      <c r="O66" s="4">
        <f>(1+$B$14)^(Table13[[#This Row],[age since issue]]-$A$17)</f>
        <v>5.3960645948437893</v>
      </c>
      <c r="P66" s="5">
        <f>(Table13[[#This Row],[level premium unmarked-up]]*Table13[[#This Row],[unconditional persistency AT ISSUE]]-Table13[[#This Row],[Death benefit pay probability]])</f>
        <v>-2.1132797413602545E-3</v>
      </c>
      <c r="Q66" s="4">
        <f>Table13[[#This Row],[Issuer profit with unmarked-up level premium]]/Table13[[#This Row],[Issuer discounter at issue]]</f>
        <v>-3.9163351442820003E-4</v>
      </c>
      <c r="R66" s="4">
        <f>(Table13[[#This Row],[variable premium unmarked up]]*Table13[[#This Row],[unconditional persistency AT ISSUE]]-Table13[[#This Row],[Death benefit pay probability]])</f>
        <v>0</v>
      </c>
      <c r="S66" s="6">
        <f>Table13[[#This Row],[level premium unmarked-up]]*(1+$B$15)</f>
        <v>2.4615991981893799E-3</v>
      </c>
      <c r="T66" s="6">
        <f>MIN(Table13[[#This Row],[variable premium unmarked up]]*(1+$B$15),1)</f>
        <v>2.2515376957444436E-2</v>
      </c>
      <c r="U66" s="6">
        <f>Table13[[#This Row],[level premium marked up]]-Table13[[#This Row],[variable premium marked up]]</f>
        <v>-2.0053777759255056E-2</v>
      </c>
      <c r="V66" s="6">
        <f>Table13[[#This Row],[additional cash]]+V65*(1+$D$2)</f>
        <v>-0.12277506986884877</v>
      </c>
      <c r="W66" s="12"/>
      <c r="X66" s="13"/>
      <c r="Y66" s="49"/>
      <c r="Z66" s="13"/>
      <c r="AA66" s="13"/>
      <c r="AB66" s="50"/>
      <c r="AC66" s="14"/>
      <c r="AD66" s="28"/>
      <c r="AE66" s="46"/>
      <c r="AF66" s="42"/>
      <c r="AG66" s="46"/>
      <c r="AH66" s="48"/>
      <c r="AI66" s="29"/>
      <c r="AJ66" s="29"/>
      <c r="AK66" s="57">
        <f>Table13[[#This Row],[level premium marked up]]*Table13[[#This Row],[unconditional survival NOW]]</f>
        <v>0</v>
      </c>
      <c r="AL66" s="62">
        <f>Table13[[#This Row],[cumulative debt until t]]*Table13[[#This Row],[Unconditional mortality NOW]]</f>
        <v>0</v>
      </c>
      <c r="AM66" s="47"/>
      <c r="AN66" s="58"/>
      <c r="AO66" s="47"/>
      <c r="AP66" s="46"/>
      <c r="AQ66" s="58"/>
      <c r="AR66" s="60"/>
      <c r="AS66" s="58"/>
    </row>
    <row r="67" spans="1:45" s="3" customFormat="1">
      <c r="A67" s="3">
        <v>71</v>
      </c>
      <c r="B67" s="8">
        <v>3.2000000000000001E-2</v>
      </c>
      <c r="C67" s="3">
        <v>0</v>
      </c>
      <c r="D67" s="12">
        <v>3.2000000000000001E-2</v>
      </c>
      <c r="E67" s="66">
        <v>2.3269999999999999E-2</v>
      </c>
      <c r="F67" s="13">
        <f>1-Table13[[#This Row],[one-year conditional mortality AT ISSUE]]</f>
        <v>0.97672999999999999</v>
      </c>
      <c r="G67" s="13">
        <f>PRODUCT(F$17:F67)</f>
        <v>0.77081251083789026</v>
      </c>
      <c r="H67" s="13">
        <f>Table13[[#This Row],[one-year conditional survival AT ISSUE]]*(1-Table13[[#This Row],[Lapse rate]])</f>
        <v>0.94547463999999992</v>
      </c>
      <c r="I67" s="13">
        <f>PRODUCT(H$17:H67)</f>
        <v>9.9634713552151269E-2</v>
      </c>
      <c r="J67" s="13">
        <f>G66*Table13[[#This Row],[one-year conditional mortality AT ISSUE]]</f>
        <v>1.8364140680840874E-2</v>
      </c>
      <c r="K67" s="10">
        <f>I66*Table13[[#This Row],[one-year conditional mortality AT ISSUE]]</f>
        <v>2.4522072684663018E-3</v>
      </c>
      <c r="L67" s="3">
        <f t="shared" si="0"/>
        <v>2.4615991981893799E-3</v>
      </c>
      <c r="M67" s="44">
        <f>Table13[[#This Row],[Death benefit pay probability]]/Table13[[#This Row],[unconditional persistency AT ISSUE]]</f>
        <v>2.4611976900829408E-2</v>
      </c>
      <c r="N67" s="44">
        <f>Table13[[#This Row],[one-year conditional mortality AT ISSUE]]/Table13[[#This Row],[one-year conditional persistency AT ISSUE]]</f>
        <v>2.4611976900829408E-2</v>
      </c>
      <c r="O67" s="4">
        <f>(1+$B$14)^(Table13[[#This Row],[age since issue]]-$A$17)</f>
        <v>5.5849268556633218</v>
      </c>
      <c r="P67" s="5">
        <f>(Table13[[#This Row],[level premium unmarked-up]]*Table13[[#This Row],[unconditional persistency AT ISSUE]]-Table13[[#This Row],[Death benefit pay probability]])</f>
        <v>-2.2069465374744976E-3</v>
      </c>
      <c r="Q67" s="4">
        <f>Table13[[#This Row],[Issuer profit with unmarked-up level premium]]/Table13[[#This Row],[Issuer discounter at issue]]</f>
        <v>-3.9516122493825904E-4</v>
      </c>
      <c r="R67" s="4">
        <f>(Table13[[#This Row],[variable premium unmarked up]]*Table13[[#This Row],[unconditional persistency AT ISSUE]]-Table13[[#This Row],[Death benefit pay probability]])</f>
        <v>0</v>
      </c>
      <c r="S67" s="6">
        <f>Table13[[#This Row],[level premium unmarked-up]]*(1+$B$15)</f>
        <v>2.4615991981893799E-3</v>
      </c>
      <c r="T67" s="6">
        <f>MIN(Table13[[#This Row],[variable premium unmarked up]]*(1+$B$15),1)</f>
        <v>2.4611976900829408E-2</v>
      </c>
      <c r="U67" s="6">
        <f>Table13[[#This Row],[level premium marked up]]-Table13[[#This Row],[variable premium marked up]]</f>
        <v>-2.2150377702640028E-2</v>
      </c>
      <c r="V67" s="6">
        <f>Table13[[#This Row],[additional cash]]+V66*(1+$D$2)</f>
        <v>-0.14504822264135764</v>
      </c>
      <c r="W67" s="12"/>
      <c r="X67" s="13"/>
      <c r="Y67" s="49"/>
      <c r="Z67" s="13"/>
      <c r="AA67" s="13"/>
      <c r="AB67" s="50"/>
      <c r="AC67" s="14"/>
      <c r="AD67" s="28"/>
      <c r="AE67" s="46"/>
      <c r="AF67" s="42"/>
      <c r="AG67" s="46"/>
      <c r="AH67" s="48"/>
      <c r="AI67" s="29"/>
      <c r="AJ67" s="29"/>
      <c r="AK67" s="57">
        <f>Table13[[#This Row],[level premium marked up]]*Table13[[#This Row],[unconditional survival NOW]]</f>
        <v>0</v>
      </c>
      <c r="AL67" s="62">
        <f>Table13[[#This Row],[cumulative debt until t]]*Table13[[#This Row],[Unconditional mortality NOW]]</f>
        <v>0</v>
      </c>
      <c r="AM67" s="47"/>
      <c r="AN67" s="58"/>
      <c r="AO67" s="47"/>
      <c r="AP67" s="46"/>
      <c r="AQ67" s="58"/>
      <c r="AR67" s="60"/>
      <c r="AS67" s="58"/>
    </row>
    <row r="68" spans="1:45" s="3" customFormat="1">
      <c r="A68" s="3">
        <v>72</v>
      </c>
      <c r="B68" s="8">
        <v>3.2000000000000001E-2</v>
      </c>
      <c r="C68" s="3">
        <v>0</v>
      </c>
      <c r="D68" s="12">
        <v>3.2000000000000001E-2</v>
      </c>
      <c r="E68" s="66">
        <v>2.5440000000000001E-2</v>
      </c>
      <c r="F68" s="13">
        <f>1-Table13[[#This Row],[one-year conditional mortality AT ISSUE]]</f>
        <v>0.97455999999999998</v>
      </c>
      <c r="G68" s="13">
        <f>PRODUCT(F$17:F68)</f>
        <v>0.75120304056217435</v>
      </c>
      <c r="H68" s="13">
        <f>Table13[[#This Row],[one-year conditional survival AT ISSUE]]*(1-Table13[[#This Row],[Lapse rate]])</f>
        <v>0.94337408</v>
      </c>
      <c r="I68" s="13">
        <f>PRODUCT(H$17:H68)</f>
        <v>9.3992806233324233E-2</v>
      </c>
      <c r="J68" s="13">
        <f>G67*Table13[[#This Row],[one-year conditional mortality AT ISSUE]]</f>
        <v>1.960947027571593E-2</v>
      </c>
      <c r="K68" s="10">
        <f>I67*Table13[[#This Row],[one-year conditional mortality AT ISSUE]]</f>
        <v>2.5347071127667284E-3</v>
      </c>
      <c r="L68" s="3">
        <f t="shared" si="0"/>
        <v>2.4615991981893799E-3</v>
      </c>
      <c r="M68" s="44">
        <f>Table13[[#This Row],[Death benefit pay probability]]/Table13[[#This Row],[unconditional persistency AT ISSUE]]</f>
        <v>2.6967033056494411E-2</v>
      </c>
      <c r="N68" s="44">
        <f>Table13[[#This Row],[one-year conditional mortality AT ISSUE]]/Table13[[#This Row],[one-year conditional persistency AT ISSUE]]</f>
        <v>2.6967033056494408E-2</v>
      </c>
      <c r="O68" s="4">
        <f>(1+$B$14)^(Table13[[#This Row],[age since issue]]-$A$17)</f>
        <v>5.7803992956115371</v>
      </c>
      <c r="P68" s="5">
        <f>(Table13[[#This Row],[level premium unmarked-up]]*Table13[[#This Row],[unconditional persistency AT ISSUE]]-Table13[[#This Row],[Death benefit pay probability]])</f>
        <v>-2.3033344963072078E-3</v>
      </c>
      <c r="Q68" s="4">
        <f>Table13[[#This Row],[Issuer profit with unmarked-up level premium]]/Table13[[#This Row],[Issuer discounter at issue]]</f>
        <v>-3.9847325046487583E-4</v>
      </c>
      <c r="R68" s="4">
        <f>(Table13[[#This Row],[variable premium unmarked up]]*Table13[[#This Row],[unconditional persistency AT ISSUE]]-Table13[[#This Row],[Death benefit pay probability]])</f>
        <v>0</v>
      </c>
      <c r="S68" s="6">
        <f>Table13[[#This Row],[level premium unmarked-up]]*(1+$B$15)</f>
        <v>2.4615991981893799E-3</v>
      </c>
      <c r="T68" s="6">
        <f>MIN(Table13[[#This Row],[variable premium unmarked up]]*(1+$B$15),1)</f>
        <v>2.6967033056494411E-2</v>
      </c>
      <c r="U68" s="6">
        <f>Table13[[#This Row],[level premium marked up]]-Table13[[#This Row],[variable premium marked up]]</f>
        <v>-2.4505433858305031E-2</v>
      </c>
      <c r="V68" s="6">
        <f>Table13[[#This Row],[additional cash]]+V67*(1+$D$2)</f>
        <v>-0.169698704722304</v>
      </c>
      <c r="W68" s="12"/>
      <c r="X68" s="13"/>
      <c r="Y68" s="49"/>
      <c r="Z68" s="13"/>
      <c r="AA68" s="13"/>
      <c r="AB68" s="50"/>
      <c r="AC68" s="14"/>
      <c r="AD68" s="28"/>
      <c r="AE68" s="46"/>
      <c r="AF68" s="42"/>
      <c r="AG68" s="46"/>
      <c r="AH68" s="48"/>
      <c r="AI68" s="29"/>
      <c r="AJ68" s="29"/>
      <c r="AK68" s="57">
        <f>Table13[[#This Row],[level premium marked up]]*Table13[[#This Row],[unconditional survival NOW]]</f>
        <v>0</v>
      </c>
      <c r="AL68" s="62">
        <f>Table13[[#This Row],[cumulative debt until t]]*Table13[[#This Row],[Unconditional mortality NOW]]</f>
        <v>0</v>
      </c>
      <c r="AM68" s="47"/>
      <c r="AN68" s="58"/>
      <c r="AO68" s="47"/>
      <c r="AP68" s="46"/>
      <c r="AQ68" s="58"/>
      <c r="AR68" s="60"/>
      <c r="AS68" s="58"/>
    </row>
    <row r="69" spans="1:45" s="3" customFormat="1">
      <c r="A69" s="3">
        <v>73</v>
      </c>
      <c r="B69" s="8">
        <v>3.2000000000000001E-2</v>
      </c>
      <c r="C69" s="3">
        <v>0</v>
      </c>
      <c r="D69" s="12">
        <v>3.2000000000000001E-2</v>
      </c>
      <c r="E69" s="66">
        <v>2.8379999999999999E-2</v>
      </c>
      <c r="F69" s="13">
        <f>1-Table13[[#This Row],[one-year conditional mortality AT ISSUE]]</f>
        <v>0.97162000000000004</v>
      </c>
      <c r="G69" s="13">
        <f>PRODUCT(F$17:F69)</f>
        <v>0.72988389827101985</v>
      </c>
      <c r="H69" s="13">
        <f>Table13[[#This Row],[one-year conditional survival AT ISSUE]]*(1-Table13[[#This Row],[Lapse rate]])</f>
        <v>0.94052816000000006</v>
      </c>
      <c r="I69" s="13">
        <f>PRODUCT(H$17:H69)</f>
        <v>8.840288109986498E-2</v>
      </c>
      <c r="J69" s="13">
        <f>G68*Table13[[#This Row],[one-year conditional mortality AT ISSUE]]</f>
        <v>2.1319142291154506E-2</v>
      </c>
      <c r="K69" s="10">
        <f>I68*Table13[[#This Row],[one-year conditional mortality AT ISSUE]]</f>
        <v>2.6675158409017415E-3</v>
      </c>
      <c r="L69" s="3">
        <f t="shared" si="0"/>
        <v>2.4615991981893799E-3</v>
      </c>
      <c r="M69" s="44">
        <f>Table13[[#This Row],[Death benefit pay probability]]/Table13[[#This Row],[unconditional persistency AT ISSUE]]</f>
        <v>3.0174535125030169E-2</v>
      </c>
      <c r="N69" s="44">
        <f>Table13[[#This Row],[one-year conditional mortality AT ISSUE]]/Table13[[#This Row],[one-year conditional persistency AT ISSUE]]</f>
        <v>3.0174535125030173E-2</v>
      </c>
      <c r="O69" s="4">
        <f>(1+$B$14)^(Table13[[#This Row],[age since issue]]-$A$17)</f>
        <v>5.9827132709579409</v>
      </c>
      <c r="P69" s="5">
        <f>(Table13[[#This Row],[level premium unmarked-up]]*Table13[[#This Row],[unconditional persistency AT ISSUE]]-Table13[[#This Row],[Death benefit pay probability]])</f>
        <v>-2.449903379668683E-3</v>
      </c>
      <c r="Q69" s="4">
        <f>Table13[[#This Row],[Issuer profit with unmarked-up level premium]]/Table13[[#This Row],[Issuer discounter at issue]]</f>
        <v>-4.0949704067572823E-4</v>
      </c>
      <c r="R69" s="4">
        <f>(Table13[[#This Row],[variable premium unmarked up]]*Table13[[#This Row],[unconditional persistency AT ISSUE]]-Table13[[#This Row],[Death benefit pay probability]])</f>
        <v>0</v>
      </c>
      <c r="S69" s="6">
        <f>Table13[[#This Row],[level premium unmarked-up]]*(1+$B$15)</f>
        <v>2.4615991981893799E-3</v>
      </c>
      <c r="T69" s="6">
        <f>MIN(Table13[[#This Row],[variable premium unmarked up]]*(1+$B$15),1)</f>
        <v>3.0174535125030169E-2</v>
      </c>
      <c r="U69" s="6">
        <f>Table13[[#This Row],[level premium marked up]]-Table13[[#This Row],[variable premium marked up]]</f>
        <v>-2.7712935926840789E-2</v>
      </c>
      <c r="V69" s="6">
        <f>Table13[[#This Row],[additional cash]]+V68*(1+$D$2)</f>
        <v>-0.19758133935386707</v>
      </c>
      <c r="W69" s="12"/>
      <c r="X69" s="13"/>
      <c r="Y69" s="49"/>
      <c r="Z69" s="13"/>
      <c r="AA69" s="13"/>
      <c r="AB69" s="50"/>
      <c r="AC69" s="14"/>
      <c r="AD69" s="28"/>
      <c r="AE69" s="46"/>
      <c r="AF69" s="42"/>
      <c r="AG69" s="46"/>
      <c r="AH69" s="48"/>
      <c r="AI69" s="29"/>
      <c r="AJ69" s="29"/>
      <c r="AK69" s="57">
        <f>Table13[[#This Row],[level premium marked up]]*Table13[[#This Row],[unconditional survival NOW]]</f>
        <v>0</v>
      </c>
      <c r="AL69" s="62">
        <f>Table13[[#This Row],[cumulative debt until t]]*Table13[[#This Row],[Unconditional mortality NOW]]</f>
        <v>0</v>
      </c>
      <c r="AM69" s="47"/>
      <c r="AN69" s="58"/>
      <c r="AO69" s="47"/>
      <c r="AP69" s="46"/>
      <c r="AQ69" s="58"/>
      <c r="AR69" s="60"/>
      <c r="AS69" s="58"/>
    </row>
    <row r="70" spans="1:45" s="3" customFormat="1">
      <c r="A70" s="3">
        <v>74</v>
      </c>
      <c r="B70" s="8">
        <v>3.2000000000000001E-2</v>
      </c>
      <c r="C70" s="3">
        <v>0</v>
      </c>
      <c r="D70" s="12">
        <v>3.2000000000000001E-2</v>
      </c>
      <c r="E70" s="66">
        <v>3.143E-2</v>
      </c>
      <c r="F70" s="13">
        <f>1-Table13[[#This Row],[one-year conditional mortality AT ISSUE]]</f>
        <v>0.96857000000000004</v>
      </c>
      <c r="G70" s="13">
        <f>PRODUCT(F$17:F70)</f>
        <v>0.70694364734836168</v>
      </c>
      <c r="H70" s="13">
        <f>Table13[[#This Row],[one-year conditional survival AT ISSUE]]*(1-Table13[[#This Row],[Lapse rate]])</f>
        <v>0.93757575999999998</v>
      </c>
      <c r="I70" s="13">
        <f>PRODUCT(H$17:H70)</f>
        <v>8.288439843339554E-2</v>
      </c>
      <c r="J70" s="13">
        <f>G69*Table13[[#This Row],[one-year conditional mortality AT ISSUE]]</f>
        <v>2.2940250922658154E-2</v>
      </c>
      <c r="K70" s="10">
        <f>I69*Table13[[#This Row],[one-year conditional mortality AT ISSUE]]</f>
        <v>2.7785025529687563E-3</v>
      </c>
      <c r="L70" s="3">
        <f t="shared" si="0"/>
        <v>2.4615991981893799E-3</v>
      </c>
      <c r="M70" s="44">
        <f>Table13[[#This Row],[Death benefit pay probability]]/Table13[[#This Row],[unconditional persistency AT ISSUE]]</f>
        <v>3.3522624347711381E-2</v>
      </c>
      <c r="N70" s="44">
        <f>Table13[[#This Row],[one-year conditional mortality AT ISSUE]]/Table13[[#This Row],[one-year conditional persistency AT ISSUE]]</f>
        <v>3.3522624347711381E-2</v>
      </c>
      <c r="O70" s="4">
        <f>(1+$B$14)^(Table13[[#This Row],[age since issue]]-$A$17)</f>
        <v>6.1921082354414674</v>
      </c>
      <c r="P70" s="5">
        <f>(Table13[[#This Row],[level premium unmarked-up]]*Table13[[#This Row],[unconditional persistency AT ISSUE]]-Table13[[#This Row],[Death benefit pay probability]])</f>
        <v>-2.5744743842427008E-3</v>
      </c>
      <c r="Q70" s="4">
        <f>Table13[[#This Row],[Issuer profit with unmarked-up level premium]]/Table13[[#This Row],[Issuer discounter at issue]]</f>
        <v>-4.1576701930165039E-4</v>
      </c>
      <c r="R70" s="4">
        <f>(Table13[[#This Row],[variable premium unmarked up]]*Table13[[#This Row],[unconditional persistency AT ISSUE]]-Table13[[#This Row],[Death benefit pay probability]])</f>
        <v>0</v>
      </c>
      <c r="S70" s="6">
        <f>Table13[[#This Row],[level premium unmarked-up]]*(1+$B$15)</f>
        <v>2.4615991981893799E-3</v>
      </c>
      <c r="T70" s="6">
        <f>MIN(Table13[[#This Row],[variable premium unmarked up]]*(1+$B$15),1)</f>
        <v>3.3522624347711381E-2</v>
      </c>
      <c r="U70" s="6">
        <f>Table13[[#This Row],[level premium marked up]]-Table13[[#This Row],[variable premium marked up]]</f>
        <v>-3.1061025149522001E-2</v>
      </c>
      <c r="V70" s="6">
        <f>Table13[[#This Row],[additional cash]]+V69*(1+$D$2)</f>
        <v>-0.22883994584274292</v>
      </c>
      <c r="W70" s="12"/>
      <c r="X70" s="13"/>
      <c r="Y70" s="49"/>
      <c r="Z70" s="13"/>
      <c r="AA70" s="13"/>
      <c r="AB70" s="50"/>
      <c r="AC70" s="14"/>
      <c r="AD70" s="28"/>
      <c r="AE70" s="46"/>
      <c r="AF70" s="42"/>
      <c r="AG70" s="46"/>
      <c r="AH70" s="48"/>
      <c r="AI70" s="29"/>
      <c r="AJ70" s="29"/>
      <c r="AK70" s="57">
        <f>Table13[[#This Row],[level premium marked up]]*Table13[[#This Row],[unconditional survival NOW]]</f>
        <v>0</v>
      </c>
      <c r="AL70" s="62">
        <f>Table13[[#This Row],[cumulative debt until t]]*Table13[[#This Row],[Unconditional mortality NOW]]</f>
        <v>0</v>
      </c>
      <c r="AM70" s="47"/>
      <c r="AN70" s="58"/>
      <c r="AO70" s="47"/>
      <c r="AP70" s="46"/>
      <c r="AQ70" s="58"/>
      <c r="AR70" s="60"/>
      <c r="AS70" s="58"/>
    </row>
    <row r="71" spans="1:45" s="3" customFormat="1">
      <c r="A71" s="3">
        <v>75</v>
      </c>
      <c r="B71" s="8">
        <v>3.2000000000000001E-2</v>
      </c>
      <c r="C71" s="3">
        <v>0</v>
      </c>
      <c r="D71" s="12">
        <v>3.2000000000000001E-2</v>
      </c>
      <c r="E71" s="66">
        <v>3.4610000000000002E-2</v>
      </c>
      <c r="F71" s="13">
        <f>1-Table13[[#This Row],[one-year conditional mortality AT ISSUE]]</f>
        <v>0.96538999999999997</v>
      </c>
      <c r="G71" s="13">
        <f>PRODUCT(F$17:F71)</f>
        <v>0.68247632771363487</v>
      </c>
      <c r="H71" s="13">
        <f>Table13[[#This Row],[one-year conditional survival AT ISSUE]]*(1-Table13[[#This Row],[Lapse rate]])</f>
        <v>0.93449751999999997</v>
      </c>
      <c r="I71" s="13">
        <f>PRODUCT(H$17:H71)</f>
        <v>7.7455264782700012E-2</v>
      </c>
      <c r="J71" s="13">
        <f>G70*Table13[[#This Row],[one-year conditional mortality AT ISSUE]]</f>
        <v>2.44673196347268E-2</v>
      </c>
      <c r="K71" s="10">
        <f>I70*Table13[[#This Row],[one-year conditional mortality AT ISSUE]]</f>
        <v>2.8686290297798198E-3</v>
      </c>
      <c r="L71" s="3">
        <f t="shared" si="0"/>
        <v>2.4615991981893799E-3</v>
      </c>
      <c r="M71" s="44">
        <f>Table13[[#This Row],[Death benefit pay probability]]/Table13[[#This Row],[unconditional persistency AT ISSUE]]</f>
        <v>3.7035946334025592E-2</v>
      </c>
      <c r="N71" s="44">
        <f>Table13[[#This Row],[one-year conditional mortality AT ISSUE]]/Table13[[#This Row],[one-year conditional persistency AT ISSUE]]</f>
        <v>3.7035946334025585E-2</v>
      </c>
      <c r="O71" s="4">
        <f>(1+$B$14)^(Table13[[#This Row],[age since issue]]-$A$17)</f>
        <v>6.408832023681919</v>
      </c>
      <c r="P71" s="5">
        <f>(Table13[[#This Row],[level premium unmarked-up]]*Table13[[#This Row],[unconditional persistency AT ISSUE]]-Table13[[#This Row],[Death benefit pay probability]])</f>
        <v>-2.6779652120951791E-3</v>
      </c>
      <c r="Q71" s="4">
        <f>Table13[[#This Row],[Issuer profit with unmarked-up level premium]]/Table13[[#This Row],[Issuer discounter at issue]]</f>
        <v>-4.1785542236082347E-4</v>
      </c>
      <c r="R71" s="4">
        <f>(Table13[[#This Row],[variable premium unmarked up]]*Table13[[#This Row],[unconditional persistency AT ISSUE]]-Table13[[#This Row],[Death benefit pay probability]])</f>
        <v>4.3368086899420177E-19</v>
      </c>
      <c r="S71" s="6">
        <f>Table13[[#This Row],[level premium unmarked-up]]*(1+$B$15)</f>
        <v>2.4615991981893799E-3</v>
      </c>
      <c r="T71" s="6">
        <f>MIN(Table13[[#This Row],[variable premium unmarked up]]*(1+$B$15),1)</f>
        <v>3.7035946334025592E-2</v>
      </c>
      <c r="U71" s="6">
        <f>Table13[[#This Row],[level premium marked up]]-Table13[[#This Row],[variable premium marked up]]</f>
        <v>-3.4574347135836209E-2</v>
      </c>
      <c r="V71" s="6">
        <f>Table13[[#This Row],[additional cash]]+V70*(1+$D$2)</f>
        <v>-0.26364313292442187</v>
      </c>
      <c r="W71" s="12"/>
      <c r="X71" s="13"/>
      <c r="Y71" s="49"/>
      <c r="Z71" s="13"/>
      <c r="AA71" s="13"/>
      <c r="AB71" s="50"/>
      <c r="AC71" s="14"/>
      <c r="AD71" s="28"/>
      <c r="AE71" s="46"/>
      <c r="AF71" s="42"/>
      <c r="AG71" s="46"/>
      <c r="AH71" s="48"/>
      <c r="AI71" s="29"/>
      <c r="AJ71" s="29"/>
      <c r="AK71" s="57">
        <f>Table13[[#This Row],[level premium marked up]]*Table13[[#This Row],[unconditional survival NOW]]</f>
        <v>0</v>
      </c>
      <c r="AL71" s="62">
        <f>Table13[[#This Row],[cumulative debt until t]]*Table13[[#This Row],[Unconditional mortality NOW]]</f>
        <v>0</v>
      </c>
      <c r="AM71" s="47"/>
      <c r="AN71" s="58"/>
      <c r="AO71" s="47"/>
      <c r="AP71" s="46"/>
      <c r="AQ71" s="58"/>
      <c r="AR71" s="60"/>
      <c r="AS71" s="58"/>
    </row>
    <row r="72" spans="1:45" s="3" customFormat="1">
      <c r="A72" s="3">
        <v>76</v>
      </c>
      <c r="B72" s="8">
        <v>3.2000000000000001E-2</v>
      </c>
      <c r="C72" s="3">
        <v>0</v>
      </c>
      <c r="D72" s="12">
        <v>3.2000000000000001E-2</v>
      </c>
      <c r="E72" s="66">
        <v>3.814E-2</v>
      </c>
      <c r="F72" s="13">
        <f>1-Table13[[#This Row],[one-year conditional mortality AT ISSUE]]</f>
        <v>0.96186000000000005</v>
      </c>
      <c r="G72" s="13">
        <f>PRODUCT(F$17:F72)</f>
        <v>0.65644668057463684</v>
      </c>
      <c r="H72" s="13">
        <f>Table13[[#This Row],[one-year conditional survival AT ISSUE]]*(1-Table13[[#This Row],[Lapse rate]])</f>
        <v>0.93108047999999999</v>
      </c>
      <c r="I72" s="13">
        <f>PRODUCT(H$17:H72)</f>
        <v>7.2117085112403417E-2</v>
      </c>
      <c r="J72" s="13">
        <f>G71*Table13[[#This Row],[one-year conditional mortality AT ISSUE]]</f>
        <v>2.6029647138998035E-2</v>
      </c>
      <c r="K72" s="10">
        <f>I71*Table13[[#This Row],[one-year conditional mortality AT ISSUE]]</f>
        <v>2.9541437988121785E-3</v>
      </c>
      <c r="L72" s="3">
        <f t="shared" si="0"/>
        <v>2.4615991981893799E-3</v>
      </c>
      <c r="M72" s="44">
        <f>Table13[[#This Row],[Death benefit pay probability]]/Table13[[#This Row],[unconditional persistency AT ISSUE]]</f>
        <v>4.09631614229524E-2</v>
      </c>
      <c r="N72" s="44">
        <f>Table13[[#This Row],[one-year conditional mortality AT ISSUE]]/Table13[[#This Row],[one-year conditional persistency AT ISSUE]]</f>
        <v>4.09631614229524E-2</v>
      </c>
      <c r="O72" s="4">
        <f>(1+$B$14)^(Table13[[#This Row],[age since issue]]-$A$17)</f>
        <v>6.6331411445107866</v>
      </c>
      <c r="P72" s="5">
        <f>(Table13[[#This Row],[level premium unmarked-up]]*Table13[[#This Row],[unconditional persistency AT ISSUE]]-Table13[[#This Row],[Death benefit pay probability]])</f>
        <v>-2.7766204399237312E-3</v>
      </c>
      <c r="Q72" s="4">
        <f>Table13[[#This Row],[Issuer profit with unmarked-up level premium]]/Table13[[#This Row],[Issuer discounter at issue]]</f>
        <v>-4.1859812409110361E-4</v>
      </c>
      <c r="R72" s="4">
        <f>(Table13[[#This Row],[variable premium unmarked up]]*Table13[[#This Row],[unconditional persistency AT ISSUE]]-Table13[[#This Row],[Death benefit pay probability]])</f>
        <v>0</v>
      </c>
      <c r="S72" s="6">
        <f>Table13[[#This Row],[level premium unmarked-up]]*(1+$B$15)</f>
        <v>2.4615991981893799E-3</v>
      </c>
      <c r="T72" s="6">
        <f>MIN(Table13[[#This Row],[variable premium unmarked up]]*(1+$B$15),1)</f>
        <v>4.09631614229524E-2</v>
      </c>
      <c r="U72" s="6">
        <f>Table13[[#This Row],[level premium marked up]]-Table13[[#This Row],[variable premium marked up]]</f>
        <v>-3.8501562224763017E-2</v>
      </c>
      <c r="V72" s="6">
        <f>Table13[[#This Row],[additional cash]]+V71*(1+$D$2)</f>
        <v>-0.30240833828210928</v>
      </c>
      <c r="W72" s="12"/>
      <c r="X72" s="13"/>
      <c r="Y72" s="49"/>
      <c r="Z72" s="13"/>
      <c r="AA72" s="13"/>
      <c r="AB72" s="50"/>
      <c r="AC72" s="14"/>
      <c r="AD72" s="28"/>
      <c r="AE72" s="46"/>
      <c r="AF72" s="42"/>
      <c r="AG72" s="46"/>
      <c r="AH72" s="48"/>
      <c r="AI72" s="29"/>
      <c r="AJ72" s="29"/>
      <c r="AK72" s="57">
        <f>Table13[[#This Row],[level premium marked up]]*Table13[[#This Row],[unconditional survival NOW]]</f>
        <v>0</v>
      </c>
      <c r="AL72" s="62">
        <f>Table13[[#This Row],[cumulative debt until t]]*Table13[[#This Row],[Unconditional mortality NOW]]</f>
        <v>0</v>
      </c>
      <c r="AM72" s="47"/>
      <c r="AN72" s="58"/>
      <c r="AO72" s="47"/>
      <c r="AP72" s="46"/>
      <c r="AQ72" s="58"/>
      <c r="AR72" s="60"/>
      <c r="AS72" s="58"/>
    </row>
    <row r="73" spans="1:45" s="3" customFormat="1">
      <c r="A73" s="3">
        <v>77</v>
      </c>
      <c r="B73" s="8">
        <v>3.2000000000000001E-2</v>
      </c>
      <c r="C73" s="3">
        <v>0</v>
      </c>
      <c r="D73" s="12">
        <v>3.2000000000000001E-2</v>
      </c>
      <c r="E73" s="66">
        <v>4.1959999999999997E-2</v>
      </c>
      <c r="F73" s="13">
        <f>1-Table13[[#This Row],[one-year conditional mortality AT ISSUE]]</f>
        <v>0.95804</v>
      </c>
      <c r="G73" s="13">
        <f>PRODUCT(F$17:F73)</f>
        <v>0.62890217785772506</v>
      </c>
      <c r="H73" s="13">
        <f>Table13[[#This Row],[one-year conditional survival AT ISSUE]]*(1-Table13[[#This Row],[Lapse rate]])</f>
        <v>0.92738271999999999</v>
      </c>
      <c r="I73" s="13">
        <f>PRODUCT(H$17:H73)</f>
        <v>6.688013855001218E-2</v>
      </c>
      <c r="J73" s="13">
        <f>G72*Table13[[#This Row],[one-year conditional mortality AT ISSUE]]</f>
        <v>2.7544502716911761E-2</v>
      </c>
      <c r="K73" s="10">
        <f>I72*Table13[[#This Row],[one-year conditional mortality AT ISSUE]]</f>
        <v>3.0260328913164474E-3</v>
      </c>
      <c r="L73" s="3">
        <f t="shared" si="0"/>
        <v>2.4615991981893799E-3</v>
      </c>
      <c r="M73" s="44">
        <f>Table13[[#This Row],[Death benefit pay probability]]/Table13[[#This Row],[unconditional persistency AT ISSUE]]</f>
        <v>4.5245613375241675E-2</v>
      </c>
      <c r="N73" s="44">
        <f>Table13[[#This Row],[one-year conditional mortality AT ISSUE]]/Table13[[#This Row],[one-year conditional persistency AT ISSUE]]</f>
        <v>4.5245613375241668E-2</v>
      </c>
      <c r="O73" s="4">
        <f>(1+$B$14)^(Table13[[#This Row],[age since issue]]-$A$17)</f>
        <v>6.8653010845686619</v>
      </c>
      <c r="P73" s="5">
        <f>(Table13[[#This Row],[level premium unmarked-up]]*Table13[[#This Row],[unconditional persistency AT ISSUE]]-Table13[[#This Row],[Death benefit pay probability]])</f>
        <v>-2.8614007958869428E-3</v>
      </c>
      <c r="Q73" s="4">
        <f>Table13[[#This Row],[Issuer profit with unmarked-up level premium]]/Table13[[#This Row],[Issuer discounter at issue]]</f>
        <v>-4.1679174163513337E-4</v>
      </c>
      <c r="R73" s="4">
        <f>(Table13[[#This Row],[variable premium unmarked up]]*Table13[[#This Row],[unconditional persistency AT ISSUE]]-Table13[[#This Row],[Death benefit pay probability]])</f>
        <v>0</v>
      </c>
      <c r="S73" s="6">
        <f>Table13[[#This Row],[level premium unmarked-up]]*(1+$B$15)</f>
        <v>2.4615991981893799E-3</v>
      </c>
      <c r="T73" s="6">
        <f>MIN(Table13[[#This Row],[variable premium unmarked up]]*(1+$B$15),1)</f>
        <v>4.5245613375241675E-2</v>
      </c>
      <c r="U73" s="6">
        <f>Table13[[#This Row],[level premium marked up]]-Table13[[#This Row],[variable premium marked up]]</f>
        <v>-4.2784014177052299E-2</v>
      </c>
      <c r="V73" s="6">
        <f>Table13[[#This Row],[additional cash]]+V72*(1+$D$2)</f>
        <v>-0.34549476079744368</v>
      </c>
      <c r="W73" s="12"/>
      <c r="X73" s="13"/>
      <c r="Y73" s="49"/>
      <c r="Z73" s="13"/>
      <c r="AA73" s="13"/>
      <c r="AB73" s="50"/>
      <c r="AC73" s="14"/>
      <c r="AD73" s="28"/>
      <c r="AE73" s="46"/>
      <c r="AF73" s="42"/>
      <c r="AG73" s="46"/>
      <c r="AH73" s="48"/>
      <c r="AI73" s="29"/>
      <c r="AJ73" s="29"/>
      <c r="AK73" s="57">
        <f>Table13[[#This Row],[level premium marked up]]*Table13[[#This Row],[unconditional survival NOW]]</f>
        <v>0</v>
      </c>
      <c r="AL73" s="62">
        <f>Table13[[#This Row],[cumulative debt until t]]*Table13[[#This Row],[Unconditional mortality NOW]]</f>
        <v>0</v>
      </c>
      <c r="AM73" s="47"/>
      <c r="AN73" s="58"/>
      <c r="AO73" s="47"/>
      <c r="AP73" s="46"/>
      <c r="AQ73" s="58"/>
      <c r="AR73" s="60"/>
      <c r="AS73" s="58"/>
    </row>
    <row r="74" spans="1:45" s="3" customFormat="1">
      <c r="A74" s="3">
        <v>78</v>
      </c>
      <c r="B74" s="8">
        <v>3.2000000000000001E-2</v>
      </c>
      <c r="C74" s="3">
        <v>0</v>
      </c>
      <c r="D74" s="12">
        <v>3.2000000000000001E-2</v>
      </c>
      <c r="E74" s="66">
        <v>4.6420000000000003E-2</v>
      </c>
      <c r="F74" s="13">
        <f>1-Table13[[#This Row],[one-year conditional mortality AT ISSUE]]</f>
        <v>0.95357999999999998</v>
      </c>
      <c r="G74" s="13">
        <f>PRODUCT(F$17:F74)</f>
        <v>0.59970853876156949</v>
      </c>
      <c r="H74" s="13">
        <f>Table13[[#This Row],[one-year conditional survival AT ISSUE]]*(1-Table13[[#This Row],[Lapse rate]])</f>
        <v>0.9230654399999999</v>
      </c>
      <c r="I74" s="13">
        <f>PRODUCT(H$17:H74)</f>
        <v>6.1734744517927952E-2</v>
      </c>
      <c r="J74" s="13">
        <f>G73*Table13[[#This Row],[one-year conditional mortality AT ISSUE]]</f>
        <v>2.9193639096155598E-2</v>
      </c>
      <c r="K74" s="10">
        <f>I73*Table13[[#This Row],[one-year conditional mortality AT ISSUE]]</f>
        <v>3.1045760314915658E-3</v>
      </c>
      <c r="L74" s="3">
        <f t="shared" si="0"/>
        <v>2.4615991981893799E-3</v>
      </c>
      <c r="M74" s="44">
        <f>Table13[[#This Row],[Death benefit pay probability]]/Table13[[#This Row],[unconditional persistency AT ISSUE]]</f>
        <v>5.0288958927982408E-2</v>
      </c>
      <c r="N74" s="44">
        <f>Table13[[#This Row],[one-year conditional mortality AT ISSUE]]/Table13[[#This Row],[one-year conditional persistency AT ISSUE]]</f>
        <v>5.0288958927982408E-2</v>
      </c>
      <c r="O74" s="4">
        <f>(1+$B$14)^(Table13[[#This Row],[age since issue]]-$A$17)</f>
        <v>7.1055866225285644</v>
      </c>
      <c r="P74" s="5">
        <f>(Table13[[#This Row],[level premium unmarked-up]]*Table13[[#This Row],[unconditional persistency AT ISSUE]]-Table13[[#This Row],[Death benefit pay probability]])</f>
        <v>-2.9526098338858082E-3</v>
      </c>
      <c r="Q74" s="4">
        <f>Table13[[#This Row],[Issuer profit with unmarked-up level premium]]/Table13[[#This Row],[Issuer discounter at issue]]</f>
        <v>-4.1553357811787605E-4</v>
      </c>
      <c r="R74" s="4">
        <f>(Table13[[#This Row],[variable premium unmarked up]]*Table13[[#This Row],[unconditional persistency AT ISSUE]]-Table13[[#This Row],[Death benefit pay probability]])</f>
        <v>0</v>
      </c>
      <c r="S74" s="6">
        <f>Table13[[#This Row],[level premium unmarked-up]]*(1+$B$15)</f>
        <v>2.4615991981893799E-3</v>
      </c>
      <c r="T74" s="6">
        <f>MIN(Table13[[#This Row],[variable premium unmarked up]]*(1+$B$15),1)</f>
        <v>5.0288958927982408E-2</v>
      </c>
      <c r="U74" s="6">
        <f>Table13[[#This Row],[level premium marked up]]-Table13[[#This Row],[variable premium marked up]]</f>
        <v>-4.7827359729793031E-2</v>
      </c>
      <c r="V74" s="6">
        <f>Table13[[#This Row],[additional cash]]+V73*(1+$D$2)</f>
        <v>-0.39366761528803412</v>
      </c>
      <c r="W74" s="12"/>
      <c r="X74" s="13"/>
      <c r="Y74" s="49"/>
      <c r="Z74" s="13"/>
      <c r="AA74" s="13"/>
      <c r="AB74" s="50"/>
      <c r="AC74" s="14"/>
      <c r="AD74" s="28"/>
      <c r="AE74" s="46"/>
      <c r="AF74" s="42"/>
      <c r="AG74" s="46"/>
      <c r="AH74" s="48"/>
      <c r="AI74" s="29"/>
      <c r="AJ74" s="29"/>
      <c r="AK74" s="57">
        <f>Table13[[#This Row],[level premium marked up]]*Table13[[#This Row],[unconditional survival NOW]]</f>
        <v>0</v>
      </c>
      <c r="AL74" s="62">
        <f>Table13[[#This Row],[cumulative debt until t]]*Table13[[#This Row],[Unconditional mortality NOW]]</f>
        <v>0</v>
      </c>
      <c r="AM74" s="47"/>
      <c r="AN74" s="58"/>
      <c r="AO74" s="47"/>
      <c r="AP74" s="46"/>
      <c r="AQ74" s="58"/>
      <c r="AR74" s="60"/>
      <c r="AS74" s="58"/>
    </row>
    <row r="75" spans="1:45" s="3" customFormat="1">
      <c r="A75" s="3">
        <v>79</v>
      </c>
      <c r="B75" s="8">
        <v>3.2000000000000001E-2</v>
      </c>
      <c r="C75" s="3">
        <v>0</v>
      </c>
      <c r="D75" s="12">
        <v>3.2000000000000001E-2</v>
      </c>
      <c r="E75" s="66">
        <v>5.1639999999999998E-2</v>
      </c>
      <c r="F75" s="13">
        <f>1-Table13[[#This Row],[one-year conditional mortality AT ISSUE]]</f>
        <v>0.94835999999999998</v>
      </c>
      <c r="G75" s="13">
        <f>PRODUCT(F$17:F75)</f>
        <v>0.56873958981992201</v>
      </c>
      <c r="H75" s="13">
        <f>Table13[[#This Row],[one-year conditional survival AT ISSUE]]*(1-Table13[[#This Row],[Lapse rate]])</f>
        <v>0.91801247999999991</v>
      </c>
      <c r="I75" s="13">
        <f>PRODUCT(H$17:H75)</f>
        <v>5.6673265917069435E-2</v>
      </c>
      <c r="J75" s="13">
        <f>G74*Table13[[#This Row],[one-year conditional mortality AT ISSUE]]</f>
        <v>3.0968948941647447E-2</v>
      </c>
      <c r="K75" s="10">
        <f>I74*Table13[[#This Row],[one-year conditional mortality AT ISSUE]]</f>
        <v>3.1879822069057991E-3</v>
      </c>
      <c r="L75" s="3">
        <f t="shared" si="0"/>
        <v>2.4615991981893799E-3</v>
      </c>
      <c r="M75" s="44">
        <f>Table13[[#This Row],[Death benefit pay probability]]/Table13[[#This Row],[unconditional persistency AT ISSUE]]</f>
        <v>5.6251958579038058E-2</v>
      </c>
      <c r="N75" s="44">
        <f>Table13[[#This Row],[one-year conditional mortality AT ISSUE]]/Table13[[#This Row],[one-year conditional persistency AT ISSUE]]</f>
        <v>5.6251958579038058E-2</v>
      </c>
      <c r="O75" s="4">
        <f>(1+$B$14)^(Table13[[#This Row],[age since issue]]-$A$17)</f>
        <v>7.3542821543170644</v>
      </c>
      <c r="P75" s="5">
        <f>(Table13[[#This Row],[level premium unmarked-up]]*Table13[[#This Row],[unconditional persistency AT ISSUE]]-Table13[[#This Row],[Death benefit pay probability]])</f>
        <v>-3.0484753409655676E-3</v>
      </c>
      <c r="Q75" s="4">
        <f>Table13[[#This Row],[Issuer profit with unmarked-up level premium]]/Table13[[#This Row],[Issuer discounter at issue]]</f>
        <v>-4.1451704965875843E-4</v>
      </c>
      <c r="R75" s="4">
        <f>(Table13[[#This Row],[variable premium unmarked up]]*Table13[[#This Row],[unconditional persistency AT ISSUE]]-Table13[[#This Row],[Death benefit pay probability]])</f>
        <v>0</v>
      </c>
      <c r="S75" s="6">
        <f>Table13[[#This Row],[level premium unmarked-up]]*(1+$B$15)</f>
        <v>2.4615991981893799E-3</v>
      </c>
      <c r="T75" s="6">
        <f>MIN(Table13[[#This Row],[variable premium unmarked up]]*(1+$B$15),1)</f>
        <v>5.6251958579038058E-2</v>
      </c>
      <c r="U75" s="6">
        <f>Table13[[#This Row],[level premium marked up]]-Table13[[#This Row],[variable premium marked up]]</f>
        <v>-5.3790359380848682E-2</v>
      </c>
      <c r="V75" s="6">
        <f>Table13[[#This Row],[additional cash]]+V74*(1+$D$2)</f>
        <v>-0.44785164228417079</v>
      </c>
      <c r="W75" s="12"/>
      <c r="X75" s="13"/>
      <c r="Y75" s="49"/>
      <c r="Z75" s="13"/>
      <c r="AA75" s="13"/>
      <c r="AB75" s="50"/>
      <c r="AC75" s="14"/>
      <c r="AD75" s="28"/>
      <c r="AE75" s="46"/>
      <c r="AF75" s="42"/>
      <c r="AG75" s="46"/>
      <c r="AH75" s="48"/>
      <c r="AI75" s="29"/>
      <c r="AJ75" s="29"/>
      <c r="AK75" s="57">
        <f>Table13[[#This Row],[level premium marked up]]*Table13[[#This Row],[unconditional survival NOW]]</f>
        <v>0</v>
      </c>
      <c r="AL75" s="62">
        <f>Table13[[#This Row],[cumulative debt until t]]*Table13[[#This Row],[Unconditional mortality NOW]]</f>
        <v>0</v>
      </c>
      <c r="AM75" s="47"/>
      <c r="AN75" s="58"/>
      <c r="AO75" s="47"/>
      <c r="AP75" s="46"/>
      <c r="AQ75" s="58"/>
      <c r="AR75" s="60"/>
      <c r="AS75" s="58"/>
    </row>
    <row r="76" spans="1:45" s="3" customFormat="1">
      <c r="A76" s="3">
        <v>80</v>
      </c>
      <c r="B76" s="8">
        <v>3.2000000000000001E-2</v>
      </c>
      <c r="C76" s="3">
        <v>0</v>
      </c>
      <c r="D76" s="12">
        <v>3.2000000000000001E-2</v>
      </c>
      <c r="E76" s="66">
        <v>5.7669999999999999E-2</v>
      </c>
      <c r="F76" s="13">
        <f>1-Table13[[#This Row],[one-year conditional mortality AT ISSUE]]</f>
        <v>0.94233</v>
      </c>
      <c r="G76" s="13">
        <f>PRODUCT(F$17:F76)</f>
        <v>0.53594037767500713</v>
      </c>
      <c r="H76" s="13">
        <f>Table13[[#This Row],[one-year conditional survival AT ISSUE]]*(1-Table13[[#This Row],[Lapse rate]])</f>
        <v>0.91217543999999995</v>
      </c>
      <c r="I76" s="13">
        <f>PRODUCT(H$17:H76)</f>
        <v>5.1695961274139814E-2</v>
      </c>
      <c r="J76" s="13">
        <f>G75*Table13[[#This Row],[one-year conditional mortality AT ISSUE]]</f>
        <v>3.2799212144914901E-2</v>
      </c>
      <c r="K76" s="10">
        <f>I75*Table13[[#This Row],[one-year conditional mortality AT ISSUE]]</f>
        <v>3.2683472454373944E-3</v>
      </c>
      <c r="L76" s="3">
        <f t="shared" si="0"/>
        <v>2.4615991981893799E-3</v>
      </c>
      <c r="M76" s="44">
        <f>Table13[[#This Row],[Death benefit pay probability]]/Table13[[#This Row],[unconditional persistency AT ISSUE]]</f>
        <v>6.3222487112786108E-2</v>
      </c>
      <c r="N76" s="44">
        <f>Table13[[#This Row],[one-year conditional mortality AT ISSUE]]/Table13[[#This Row],[one-year conditional persistency AT ISSUE]]</f>
        <v>6.3222487112786108E-2</v>
      </c>
      <c r="O76" s="4">
        <f>(1+$B$14)^(Table13[[#This Row],[age since issue]]-$A$17)</f>
        <v>7.6116820297181622</v>
      </c>
      <c r="P76" s="5">
        <f>(Table13[[#This Row],[level premium unmarked-up]]*Table13[[#This Row],[unconditional persistency AT ISSUE]]-Table13[[#This Row],[Death benefit pay probability]])</f>
        <v>-3.1410925086153424E-3</v>
      </c>
      <c r="Q76" s="4">
        <f>Table13[[#This Row],[Issuer profit with unmarked-up level premium]]/Table13[[#This Row],[Issuer discounter at issue]]</f>
        <v>-4.1266733113017962E-4</v>
      </c>
      <c r="R76" s="4">
        <f>(Table13[[#This Row],[variable premium unmarked up]]*Table13[[#This Row],[unconditional persistency AT ISSUE]]-Table13[[#This Row],[Death benefit pay probability]])</f>
        <v>-4.3368086899420177E-19</v>
      </c>
      <c r="S76" s="6">
        <f>Table13[[#This Row],[level premium unmarked-up]]*(1+$B$15)</f>
        <v>2.4615991981893799E-3</v>
      </c>
      <c r="T76" s="6">
        <f>MIN(Table13[[#This Row],[variable premium unmarked up]]*(1+$B$15),1)</f>
        <v>6.3222487112786108E-2</v>
      </c>
      <c r="U76" s="6">
        <f>Table13[[#This Row],[level premium marked up]]-Table13[[#This Row],[variable premium marked up]]</f>
        <v>-6.0760887914596731E-2</v>
      </c>
      <c r="V76" s="6">
        <f>Table13[[#This Row],[additional cash]]+V75*(1+$D$2)</f>
        <v>-0.50906038184105162</v>
      </c>
      <c r="W76" s="12"/>
      <c r="X76" s="13"/>
      <c r="Y76" s="49"/>
      <c r="Z76" s="13"/>
      <c r="AA76" s="13"/>
      <c r="AB76" s="50"/>
      <c r="AC76" s="14"/>
      <c r="AD76" s="28"/>
      <c r="AE76" s="46"/>
      <c r="AF76" s="42"/>
      <c r="AG76" s="46"/>
      <c r="AH76" s="48"/>
      <c r="AI76" s="29"/>
      <c r="AJ76" s="29"/>
      <c r="AK76" s="57">
        <f>Table13[[#This Row],[level premium marked up]]*Table13[[#This Row],[unconditional survival NOW]]</f>
        <v>0</v>
      </c>
      <c r="AL76" s="62">
        <f>Table13[[#This Row],[cumulative debt until t]]*Table13[[#This Row],[Unconditional mortality NOW]]</f>
        <v>0</v>
      </c>
      <c r="AM76" s="47"/>
      <c r="AN76" s="58"/>
      <c r="AO76" s="47"/>
      <c r="AP76" s="46"/>
      <c r="AQ76" s="58"/>
      <c r="AR76" s="60"/>
      <c r="AS76" s="58"/>
    </row>
    <row r="77" spans="1:45" s="3" customFormat="1">
      <c r="A77" s="3">
        <v>81</v>
      </c>
      <c r="B77" s="8">
        <v>3.2000000000000001E-2</v>
      </c>
      <c r="C77" s="3">
        <v>0</v>
      </c>
      <c r="D77" s="12">
        <v>3.2000000000000001E-2</v>
      </c>
      <c r="E77" s="66">
        <v>6.4229999999999995E-2</v>
      </c>
      <c r="F77" s="13">
        <f>1-Table13[[#This Row],[one-year conditional mortality AT ISSUE]]</f>
        <v>0.93576999999999999</v>
      </c>
      <c r="G77" s="13">
        <f>PRODUCT(F$17:F77)</f>
        <v>0.50151692721694141</v>
      </c>
      <c r="H77" s="13">
        <f>Table13[[#This Row],[one-year conditional survival AT ISSUE]]*(1-Table13[[#This Row],[Lapse rate]])</f>
        <v>0.90582535999999991</v>
      </c>
      <c r="I77" s="13">
        <f>PRODUCT(H$17:H77)</f>
        <v>4.6827512731693749E-2</v>
      </c>
      <c r="J77" s="13">
        <f>G76*Table13[[#This Row],[one-year conditional mortality AT ISSUE]]</f>
        <v>3.4423450458065705E-2</v>
      </c>
      <c r="K77" s="10">
        <f>I76*Table13[[#This Row],[one-year conditional mortality AT ISSUE]]</f>
        <v>3.3204315926379999E-3</v>
      </c>
      <c r="L77" s="3">
        <f t="shared" si="0"/>
        <v>2.4615991981893799E-3</v>
      </c>
      <c r="M77" s="44">
        <f>Table13[[#This Row],[Death benefit pay probability]]/Table13[[#This Row],[unconditional persistency AT ISSUE]]</f>
        <v>7.0907707861038463E-2</v>
      </c>
      <c r="N77" s="44">
        <f>Table13[[#This Row],[one-year conditional mortality AT ISSUE]]/Table13[[#This Row],[one-year conditional persistency AT ISSUE]]</f>
        <v>7.0907707861038463E-2</v>
      </c>
      <c r="O77" s="4">
        <f>(1+$B$14)^(Table13[[#This Row],[age since issue]]-$A$17)</f>
        <v>7.8780909007582975</v>
      </c>
      <c r="P77" s="5">
        <f>(Table13[[#This Row],[level premium unmarked-up]]*Table13[[#This Row],[unconditional persistency AT ISSUE]]-Table13[[#This Row],[Death benefit pay probability]])</f>
        <v>-3.2051610248444596E-3</v>
      </c>
      <c r="Q77" s="4">
        <f>Table13[[#This Row],[Issuer profit with unmarked-up level premium]]/Table13[[#This Row],[Issuer discounter at issue]]</f>
        <v>-4.068448898623333E-4</v>
      </c>
      <c r="R77" s="4">
        <f>(Table13[[#This Row],[variable premium unmarked up]]*Table13[[#This Row],[unconditional persistency AT ISSUE]]-Table13[[#This Row],[Death benefit pay probability]])</f>
        <v>-4.3368086899420177E-19</v>
      </c>
      <c r="S77" s="6">
        <f>Table13[[#This Row],[level premium unmarked-up]]*(1+$B$15)</f>
        <v>2.4615991981893799E-3</v>
      </c>
      <c r="T77" s="6">
        <f>MIN(Table13[[#This Row],[variable premium unmarked up]]*(1+$B$15),1)</f>
        <v>7.0907707861038463E-2</v>
      </c>
      <c r="U77" s="6">
        <f>Table13[[#This Row],[level premium marked up]]-Table13[[#This Row],[variable premium marked up]]</f>
        <v>-6.8446108662849087E-2</v>
      </c>
      <c r="V77" s="6">
        <f>Table13[[#This Row],[additional cash]]+V76*(1+$D$2)</f>
        <v>-0.57801555088574164</v>
      </c>
      <c r="W77" s="12"/>
      <c r="X77" s="13"/>
      <c r="Y77" s="49"/>
      <c r="Z77" s="13"/>
      <c r="AA77" s="13"/>
      <c r="AB77" s="50"/>
      <c r="AC77" s="14"/>
      <c r="AD77" s="28"/>
      <c r="AE77" s="46"/>
      <c r="AF77" s="42"/>
      <c r="AG77" s="46"/>
      <c r="AH77" s="48"/>
      <c r="AI77" s="29"/>
      <c r="AJ77" s="29"/>
      <c r="AK77" s="57">
        <f>Table13[[#This Row],[level premium marked up]]*Table13[[#This Row],[unconditional survival NOW]]</f>
        <v>0</v>
      </c>
      <c r="AL77" s="62">
        <f>Table13[[#This Row],[cumulative debt until t]]*Table13[[#This Row],[Unconditional mortality NOW]]</f>
        <v>0</v>
      </c>
      <c r="AM77" s="47"/>
      <c r="AN77" s="58"/>
      <c r="AO77" s="47"/>
      <c r="AP77" s="46"/>
      <c r="AQ77" s="58"/>
      <c r="AR77" s="60"/>
      <c r="AS77" s="58"/>
    </row>
    <row r="78" spans="1:45" s="3" customFormat="1">
      <c r="A78" s="3">
        <v>82</v>
      </c>
      <c r="B78" s="8">
        <v>3.2000000000000001E-2</v>
      </c>
      <c r="C78" s="3">
        <v>0</v>
      </c>
      <c r="D78" s="12">
        <v>3.2000000000000001E-2</v>
      </c>
      <c r="E78" s="66">
        <v>7.17E-2</v>
      </c>
      <c r="F78" s="13">
        <f>1-Table13[[#This Row],[one-year conditional mortality AT ISSUE]]</f>
        <v>0.92830000000000001</v>
      </c>
      <c r="G78" s="13">
        <f>PRODUCT(F$17:F78)</f>
        <v>0.46555816353548674</v>
      </c>
      <c r="H78" s="13">
        <f>Table13[[#This Row],[one-year conditional survival AT ISSUE]]*(1-Table13[[#This Row],[Lapse rate]])</f>
        <v>0.89859440000000002</v>
      </c>
      <c r="I78" s="13">
        <f>PRODUCT(H$17:H78)</f>
        <v>4.2078940706628709E-2</v>
      </c>
      <c r="J78" s="13">
        <f>G77*Table13[[#This Row],[one-year conditional mortality AT ISSUE]]</f>
        <v>3.5958763681454696E-2</v>
      </c>
      <c r="K78" s="10">
        <f>I77*Table13[[#This Row],[one-year conditional mortality AT ISSUE]]</f>
        <v>3.3575326628624419E-3</v>
      </c>
      <c r="L78" s="3">
        <f t="shared" si="0"/>
        <v>2.4615991981893799E-3</v>
      </c>
      <c r="M78" s="44">
        <f>Table13[[#This Row],[Death benefit pay probability]]/Table13[[#This Row],[unconditional persistency AT ISSUE]]</f>
        <v>7.9791282919190229E-2</v>
      </c>
      <c r="N78" s="44">
        <f>Table13[[#This Row],[one-year conditional mortality AT ISSUE]]/Table13[[#This Row],[one-year conditional persistency AT ISSUE]]</f>
        <v>7.9791282919190243E-2</v>
      </c>
      <c r="O78" s="4">
        <f>(1+$B$14)^(Table13[[#This Row],[age since issue]]-$A$17)</f>
        <v>8.1538240822848351</v>
      </c>
      <c r="P78" s="5">
        <f>(Table13[[#This Row],[level premium unmarked-up]]*Table13[[#This Row],[unconditional persistency AT ISSUE]]-Table13[[#This Row],[Death benefit pay probability]])</f>
        <v>-3.2539511761583463E-3</v>
      </c>
      <c r="Q78" s="4">
        <f>Table13[[#This Row],[Issuer profit with unmarked-up level premium]]/Table13[[#This Row],[Issuer discounter at issue]]</f>
        <v>-3.9907056410843435E-4</v>
      </c>
      <c r="R78" s="4">
        <f>(Table13[[#This Row],[variable premium unmarked up]]*Table13[[#This Row],[unconditional persistency AT ISSUE]]-Table13[[#This Row],[Death benefit pay probability]])</f>
        <v>0</v>
      </c>
      <c r="S78" s="6">
        <f>Table13[[#This Row],[level premium unmarked-up]]*(1+$B$15)</f>
        <v>2.4615991981893799E-3</v>
      </c>
      <c r="T78" s="6">
        <f>MIN(Table13[[#This Row],[variable premium unmarked up]]*(1+$B$15),1)</f>
        <v>7.9791282919190229E-2</v>
      </c>
      <c r="U78" s="6">
        <f>Table13[[#This Row],[level premium marked up]]-Table13[[#This Row],[variable premium marked up]]</f>
        <v>-7.7329683721000853E-2</v>
      </c>
      <c r="V78" s="6">
        <f>Table13[[#This Row],[additional cash]]+V77*(1+$D$2)</f>
        <v>-0.6559232501576282</v>
      </c>
      <c r="W78" s="12"/>
      <c r="X78" s="13"/>
      <c r="Y78" s="49"/>
      <c r="Z78" s="13"/>
      <c r="AA78" s="13"/>
      <c r="AB78" s="50"/>
      <c r="AC78" s="14"/>
      <c r="AD78" s="28"/>
      <c r="AE78" s="46"/>
      <c r="AF78" s="42"/>
      <c r="AG78" s="46"/>
      <c r="AH78" s="48"/>
      <c r="AI78" s="29"/>
      <c r="AJ78" s="29"/>
      <c r="AK78" s="57">
        <f>Table13[[#This Row],[level premium marked up]]*Table13[[#This Row],[unconditional survival NOW]]</f>
        <v>0</v>
      </c>
      <c r="AL78" s="62">
        <f>Table13[[#This Row],[cumulative debt until t]]*Table13[[#This Row],[Unconditional mortality NOW]]</f>
        <v>0</v>
      </c>
      <c r="AM78" s="47"/>
      <c r="AN78" s="58"/>
      <c r="AO78" s="47"/>
      <c r="AP78" s="46"/>
      <c r="AQ78" s="58"/>
      <c r="AR78" s="60"/>
      <c r="AS78" s="58"/>
    </row>
    <row r="79" spans="1:45" s="3" customFormat="1">
      <c r="A79" s="3">
        <v>83</v>
      </c>
      <c r="B79" s="8">
        <v>3.2000000000000001E-2</v>
      </c>
      <c r="C79" s="3">
        <v>0</v>
      </c>
      <c r="D79" s="12">
        <v>3.2000000000000001E-2</v>
      </c>
      <c r="E79" s="66">
        <v>7.9409999999999994E-2</v>
      </c>
      <c r="F79" s="13">
        <f>1-Table13[[#This Row],[one-year conditional mortality AT ISSUE]]</f>
        <v>0.92059000000000002</v>
      </c>
      <c r="G79" s="13">
        <f>PRODUCT(F$17:F79)</f>
        <v>0.42858818976913376</v>
      </c>
      <c r="H79" s="13">
        <f>Table13[[#This Row],[one-year conditional survival AT ISSUE]]*(1-Table13[[#This Row],[Lapse rate]])</f>
        <v>0.89113111999999994</v>
      </c>
      <c r="I79" s="13">
        <f>PRODUCT(H$17:H79)</f>
        <v>3.7497853560311628E-2</v>
      </c>
      <c r="J79" s="13">
        <f>G78*Table13[[#This Row],[one-year conditional mortality AT ISSUE]]</f>
        <v>3.6969973766352998E-2</v>
      </c>
      <c r="K79" s="10">
        <f>I78*Table13[[#This Row],[one-year conditional mortality AT ISSUE]]</f>
        <v>3.3414886815133858E-3</v>
      </c>
      <c r="L79" s="3">
        <f t="shared" si="0"/>
        <v>2.4615991981893799E-3</v>
      </c>
      <c r="M79" s="44">
        <f>Table13[[#This Row],[Death benefit pay probability]]/Table13[[#This Row],[unconditional persistency AT ISSUE]]</f>
        <v>8.9111465437319723E-2</v>
      </c>
      <c r="N79" s="44">
        <f>Table13[[#This Row],[one-year conditional mortality AT ISSUE]]/Table13[[#This Row],[one-year conditional persistency AT ISSUE]]</f>
        <v>8.9111465437319709E-2</v>
      </c>
      <c r="O79" s="4">
        <f>(1+$B$14)^(Table13[[#This Row],[age since issue]]-$A$17)</f>
        <v>8.4392079251648049</v>
      </c>
      <c r="P79" s="5">
        <f>(Table13[[#This Row],[level premium unmarked-up]]*Table13[[#This Row],[unconditional persistency AT ISSUE]]-Table13[[#This Row],[Death benefit pay probability]])</f>
        <v>-3.2491839952554996E-3</v>
      </c>
      <c r="Q79" s="4">
        <f>Table13[[#This Row],[Issuer profit with unmarked-up level premium]]/Table13[[#This Row],[Issuer discounter at issue]]</f>
        <v>-3.8501053938566729E-4</v>
      </c>
      <c r="R79" s="4">
        <f>(Table13[[#This Row],[variable premium unmarked up]]*Table13[[#This Row],[unconditional persistency AT ISSUE]]-Table13[[#This Row],[Death benefit pay probability]])</f>
        <v>0</v>
      </c>
      <c r="S79" s="6">
        <f>Table13[[#This Row],[level premium unmarked-up]]*(1+$B$15)</f>
        <v>2.4615991981893799E-3</v>
      </c>
      <c r="T79" s="6">
        <f>MIN(Table13[[#This Row],[variable premium unmarked up]]*(1+$B$15),1)</f>
        <v>8.9111465437319723E-2</v>
      </c>
      <c r="U79" s="6">
        <f>Table13[[#This Row],[level premium marked up]]-Table13[[#This Row],[variable premium marked up]]</f>
        <v>-8.6649866239130346E-2</v>
      </c>
      <c r="V79" s="6">
        <f>Table13[[#This Row],[additional cash]]+V78*(1+$D$2)</f>
        <v>-0.74322903964691611</v>
      </c>
      <c r="W79" s="12"/>
      <c r="X79" s="13"/>
      <c r="Y79" s="49"/>
      <c r="Z79" s="13"/>
      <c r="AA79" s="13"/>
      <c r="AB79" s="50"/>
      <c r="AC79" s="14"/>
      <c r="AD79" s="28"/>
      <c r="AE79" s="46"/>
      <c r="AF79" s="42"/>
      <c r="AG79" s="46"/>
      <c r="AH79" s="48"/>
      <c r="AI79" s="29"/>
      <c r="AJ79" s="29"/>
      <c r="AK79" s="57">
        <f>Table13[[#This Row],[level premium marked up]]*Table13[[#This Row],[unconditional survival NOW]]</f>
        <v>0</v>
      </c>
      <c r="AL79" s="62">
        <f>Table13[[#This Row],[cumulative debt until t]]*Table13[[#This Row],[Unconditional mortality NOW]]</f>
        <v>0</v>
      </c>
      <c r="AM79" s="47"/>
      <c r="AN79" s="58"/>
      <c r="AO79" s="47"/>
      <c r="AP79" s="46"/>
      <c r="AQ79" s="58"/>
      <c r="AR79" s="60"/>
      <c r="AS79" s="58"/>
    </row>
    <row r="80" spans="1:45" s="3" customFormat="1">
      <c r="A80" s="3">
        <v>84</v>
      </c>
      <c r="B80" s="8">
        <v>3.2000000000000001E-2</v>
      </c>
      <c r="C80" s="3">
        <v>0</v>
      </c>
      <c r="D80" s="12">
        <v>3.2000000000000001E-2</v>
      </c>
      <c r="E80" s="66">
        <v>8.7669999999999998E-2</v>
      </c>
      <c r="F80" s="13">
        <f>1-Table13[[#This Row],[one-year conditional mortality AT ISSUE]]</f>
        <v>0.91232999999999997</v>
      </c>
      <c r="G80" s="13">
        <f>PRODUCT(F$17:F80)</f>
        <v>0.39101386317207382</v>
      </c>
      <c r="H80" s="13">
        <f>Table13[[#This Row],[one-year conditional survival AT ISSUE]]*(1-Table13[[#This Row],[Lapse rate]])</f>
        <v>0.88313543999999999</v>
      </c>
      <c r="I80" s="13">
        <f>PRODUCT(H$17:H80)</f>
        <v>3.3115683403041378E-2</v>
      </c>
      <c r="J80" s="13">
        <f>G79*Table13[[#This Row],[one-year conditional mortality AT ISSUE]]</f>
        <v>3.7574326597059955E-2</v>
      </c>
      <c r="K80" s="10">
        <f>I79*Table13[[#This Row],[one-year conditional mortality AT ISSUE]]</f>
        <v>3.2874368216325202E-3</v>
      </c>
      <c r="L80" s="3">
        <f t="shared" si="0"/>
        <v>2.4615991981893799E-3</v>
      </c>
      <c r="M80" s="44">
        <f>Table13[[#This Row],[Death benefit pay probability]]/Table13[[#This Row],[unconditional persistency AT ISSUE]]</f>
        <v>9.9271296371030007E-2</v>
      </c>
      <c r="N80" s="44">
        <f>Table13[[#This Row],[one-year conditional mortality AT ISSUE]]/Table13[[#This Row],[one-year conditional persistency AT ISSUE]]</f>
        <v>9.9271296371030021E-2</v>
      </c>
      <c r="O80" s="4">
        <f>(1+$B$14)^(Table13[[#This Row],[age since issue]]-$A$17)</f>
        <v>8.7345802025455725</v>
      </c>
      <c r="P80" s="5">
        <f>(Table13[[#This Row],[level premium unmarked-up]]*Table13[[#This Row],[unconditional persistency AT ISSUE]]-Table13[[#This Row],[Death benefit pay probability]])</f>
        <v>-3.2059192819201003E-3</v>
      </c>
      <c r="Q80" s="4">
        <f>Table13[[#This Row],[Issuer profit with unmarked-up level premium]]/Table13[[#This Row],[Issuer discounter at issue]]</f>
        <v>-3.6703759168480468E-4</v>
      </c>
      <c r="R80" s="4">
        <f>(Table13[[#This Row],[variable premium unmarked up]]*Table13[[#This Row],[unconditional persistency AT ISSUE]]-Table13[[#This Row],[Death benefit pay probability]])</f>
        <v>0</v>
      </c>
      <c r="S80" s="6">
        <f>Table13[[#This Row],[level premium unmarked-up]]*(1+$B$15)</f>
        <v>2.4615991981893799E-3</v>
      </c>
      <c r="T80" s="6">
        <f>MIN(Table13[[#This Row],[variable premium unmarked up]]*(1+$B$15),1)</f>
        <v>9.9271296371030007E-2</v>
      </c>
      <c r="U80" s="6">
        <f>Table13[[#This Row],[level premium marked up]]-Table13[[#This Row],[variable premium marked up]]</f>
        <v>-9.6809697172840631E-2</v>
      </c>
      <c r="V80" s="6">
        <f>Table13[[#This Row],[additional cash]]+V79*(1+$D$2)</f>
        <v>-0.84078196585940357</v>
      </c>
      <c r="W80" s="12"/>
      <c r="X80" s="13"/>
      <c r="Y80" s="49"/>
      <c r="Z80" s="13"/>
      <c r="AA80" s="13"/>
      <c r="AB80" s="50"/>
      <c r="AC80" s="14"/>
      <c r="AD80" s="28"/>
      <c r="AE80" s="46"/>
      <c r="AF80" s="42"/>
      <c r="AG80" s="46"/>
      <c r="AH80" s="48"/>
      <c r="AI80" s="29"/>
      <c r="AJ80" s="29"/>
      <c r="AK80" s="57">
        <f>Table13[[#This Row],[level premium marked up]]*Table13[[#This Row],[unconditional survival NOW]]</f>
        <v>0</v>
      </c>
      <c r="AL80" s="62">
        <f>Table13[[#This Row],[cumulative debt until t]]*Table13[[#This Row],[Unconditional mortality NOW]]</f>
        <v>0</v>
      </c>
      <c r="AM80" s="47"/>
      <c r="AN80" s="58"/>
      <c r="AO80" s="47"/>
      <c r="AP80" s="46"/>
      <c r="AQ80" s="58"/>
      <c r="AR80" s="60"/>
      <c r="AS80" s="58"/>
    </row>
    <row r="81" spans="1:45" s="3" customFormat="1">
      <c r="A81" s="3">
        <v>85</v>
      </c>
      <c r="B81" s="8">
        <v>3.2000000000000001E-2</v>
      </c>
      <c r="C81" s="3">
        <v>0</v>
      </c>
      <c r="D81" s="12">
        <v>3.2000000000000001E-2</v>
      </c>
      <c r="E81" s="66">
        <v>9.6799999999999997E-2</v>
      </c>
      <c r="F81" s="13">
        <f>1-Table13[[#This Row],[one-year conditional mortality AT ISSUE]]</f>
        <v>0.9032</v>
      </c>
      <c r="G81" s="13">
        <f>PRODUCT(F$17:F81)</f>
        <v>0.35316372121701706</v>
      </c>
      <c r="H81" s="13">
        <f>Table13[[#This Row],[one-year conditional survival AT ISSUE]]*(1-Table13[[#This Row],[Lapse rate]])</f>
        <v>0.87429760000000001</v>
      </c>
      <c r="I81" s="13">
        <f>PRODUCT(H$17:H81)</f>
        <v>2.8952962521638911E-2</v>
      </c>
      <c r="J81" s="13">
        <f>G80*Table13[[#This Row],[one-year conditional mortality AT ISSUE]]</f>
        <v>3.7850141955056746E-2</v>
      </c>
      <c r="K81" s="10">
        <f>I80*Table13[[#This Row],[one-year conditional mortality AT ISSUE]]</f>
        <v>3.2055981534144054E-3</v>
      </c>
      <c r="L81" s="3">
        <f t="shared" ref="L81:L144" si="1">$B$1</f>
        <v>2.4615991981893799E-3</v>
      </c>
      <c r="M81" s="44">
        <f>Table13[[#This Row],[Death benefit pay probability]]/Table13[[#This Row],[unconditional persistency AT ISSUE]]</f>
        <v>0.11071744906997343</v>
      </c>
      <c r="N81" s="44">
        <f>Table13[[#This Row],[one-year conditional mortality AT ISSUE]]/Table13[[#This Row],[one-year conditional persistency AT ISSUE]]</f>
        <v>0.11071744906997343</v>
      </c>
      <c r="O81" s="4">
        <f>(1+$B$14)^(Table13[[#This Row],[age since issue]]-$A$17)</f>
        <v>9.0402905096346657</v>
      </c>
      <c r="P81" s="5">
        <f>(Table13[[#This Row],[level premium unmarked-up]]*Table13[[#This Row],[unconditional persistency AT ISSUE]]-Table13[[#This Row],[Death benefit pay probability]])</f>
        <v>-3.1343275640859317E-3</v>
      </c>
      <c r="Q81" s="4">
        <f>Table13[[#This Row],[Issuer profit with unmarked-up level premium]]/Table13[[#This Row],[Issuer discounter at issue]]</f>
        <v>-3.4670650912661826E-4</v>
      </c>
      <c r="R81" s="4">
        <f>(Table13[[#This Row],[variable premium unmarked up]]*Table13[[#This Row],[unconditional persistency AT ISSUE]]-Table13[[#This Row],[Death benefit pay probability]])</f>
        <v>0</v>
      </c>
      <c r="S81" s="6">
        <f>Table13[[#This Row],[level premium unmarked-up]]*(1+$B$15)</f>
        <v>2.4615991981893799E-3</v>
      </c>
      <c r="T81" s="6">
        <f>MIN(Table13[[#This Row],[variable premium unmarked up]]*(1+$B$15),1)</f>
        <v>0.11071744906997343</v>
      </c>
      <c r="U81" s="6">
        <f>Table13[[#This Row],[level premium marked up]]-Table13[[#This Row],[variable premium marked up]]</f>
        <v>-0.10825584987178405</v>
      </c>
      <c r="V81" s="6">
        <f>Table13[[#This Row],[additional cash]]+V80*(1+$D$2)</f>
        <v>-0.94987859769704697</v>
      </c>
      <c r="W81" s="12"/>
      <c r="X81" s="13"/>
      <c r="Y81" s="49"/>
      <c r="Z81" s="13"/>
      <c r="AA81" s="13"/>
      <c r="AB81" s="50"/>
      <c r="AC81" s="14"/>
      <c r="AD81" s="28"/>
      <c r="AE81" s="46"/>
      <c r="AF81" s="42"/>
      <c r="AG81" s="46"/>
      <c r="AH81" s="48"/>
      <c r="AI81" s="29"/>
      <c r="AJ81" s="29"/>
      <c r="AK81" s="57">
        <f>Table13[[#This Row],[level premium marked up]]*Table13[[#This Row],[unconditional survival NOW]]</f>
        <v>0</v>
      </c>
      <c r="AL81" s="62">
        <f>Table13[[#This Row],[cumulative debt until t]]*Table13[[#This Row],[Unconditional mortality NOW]]</f>
        <v>0</v>
      </c>
      <c r="AM81" s="47"/>
      <c r="AN81" s="58"/>
      <c r="AO81" s="47"/>
      <c r="AP81" s="46"/>
      <c r="AQ81" s="58"/>
      <c r="AR81" s="60"/>
      <c r="AS81" s="58"/>
    </row>
    <row r="82" spans="1:45" s="3" customFormat="1">
      <c r="A82" s="3">
        <v>86</v>
      </c>
      <c r="B82" s="8">
        <v>3.2000000000000001E-2</v>
      </c>
      <c r="C82" s="3">
        <v>0</v>
      </c>
      <c r="D82" s="12">
        <v>3.2000000000000001E-2</v>
      </c>
      <c r="E82" s="66">
        <v>0.10706</v>
      </c>
      <c r="F82" s="13">
        <f>1-Table13[[#This Row],[one-year conditional mortality AT ISSUE]]</f>
        <v>0.89293999999999996</v>
      </c>
      <c r="G82" s="13">
        <f>PRODUCT(F$17:F82)</f>
        <v>0.31535401322352319</v>
      </c>
      <c r="H82" s="13">
        <f>Table13[[#This Row],[one-year conditional survival AT ISSUE]]*(1-Table13[[#This Row],[Lapse rate]])</f>
        <v>0.8643659199999999</v>
      </c>
      <c r="I82" s="13">
        <f>PRODUCT(H$17:H82)</f>
        <v>2.5025954086741936E-2</v>
      </c>
      <c r="J82" s="13">
        <f>G81*Table13[[#This Row],[one-year conditional mortality AT ISSUE]]</f>
        <v>3.7809707993493848E-2</v>
      </c>
      <c r="K82" s="10">
        <f>I81*Table13[[#This Row],[one-year conditional mortality AT ISSUE]]</f>
        <v>3.0997041675666619E-3</v>
      </c>
      <c r="L82" s="3">
        <f t="shared" si="1"/>
        <v>2.4615991981893799E-3</v>
      </c>
      <c r="M82" s="44">
        <f>Table13[[#This Row],[Death benefit pay probability]]/Table13[[#This Row],[unconditional persistency AT ISSUE]]</f>
        <v>0.12385958021112171</v>
      </c>
      <c r="N82" s="44">
        <f>Table13[[#This Row],[one-year conditional mortality AT ISSUE]]/Table13[[#This Row],[one-year conditional persistency AT ISSUE]]</f>
        <v>0.12385958021112171</v>
      </c>
      <c r="O82" s="4">
        <f>(1+$B$14)^(Table13[[#This Row],[age since issue]]-$A$17)</f>
        <v>9.3567006774718777</v>
      </c>
      <c r="P82" s="5">
        <f>(Table13[[#This Row],[level premium unmarked-up]]*Table13[[#This Row],[unconditional persistency AT ISSUE]]-Table13[[#This Row],[Death benefit pay probability]])</f>
        <v>-3.0381002990528139E-3</v>
      </c>
      <c r="Q82" s="4">
        <f>Table13[[#This Row],[Issuer profit with unmarked-up level premium]]/Table13[[#This Row],[Issuer discounter at issue]]</f>
        <v>-3.2469781857697404E-4</v>
      </c>
      <c r="R82" s="4">
        <f>(Table13[[#This Row],[variable premium unmarked up]]*Table13[[#This Row],[unconditional persistency AT ISSUE]]-Table13[[#This Row],[Death benefit pay probability]])</f>
        <v>0</v>
      </c>
      <c r="S82" s="6">
        <f>Table13[[#This Row],[level premium unmarked-up]]*(1+$B$15)</f>
        <v>2.4615991981893799E-3</v>
      </c>
      <c r="T82" s="6">
        <f>MIN(Table13[[#This Row],[variable premium unmarked up]]*(1+$B$15),1)</f>
        <v>0.12385958021112171</v>
      </c>
      <c r="U82" s="6">
        <f>Table13[[#This Row],[level premium marked up]]-Table13[[#This Row],[variable premium marked up]]</f>
        <v>-0.12139798101293234</v>
      </c>
      <c r="V82" s="6">
        <f>Table13[[#This Row],[additional cash]]+V81*(1+$D$2)</f>
        <v>-1.0722264573076763</v>
      </c>
      <c r="W82" s="12"/>
      <c r="X82" s="13"/>
      <c r="Y82" s="49"/>
      <c r="Z82" s="13"/>
      <c r="AA82" s="13"/>
      <c r="AB82" s="50"/>
      <c r="AC82" s="14"/>
      <c r="AD82" s="28"/>
      <c r="AE82" s="46"/>
      <c r="AF82" s="42"/>
      <c r="AG82" s="46"/>
      <c r="AH82" s="48"/>
      <c r="AI82" s="29"/>
      <c r="AJ82" s="29"/>
      <c r="AK82" s="57">
        <f>Table13[[#This Row],[level premium marked up]]*Table13[[#This Row],[unconditional survival NOW]]</f>
        <v>0</v>
      </c>
      <c r="AL82" s="62">
        <f>Table13[[#This Row],[cumulative debt until t]]*Table13[[#This Row],[Unconditional mortality NOW]]</f>
        <v>0</v>
      </c>
      <c r="AM82" s="47"/>
      <c r="AN82" s="58"/>
      <c r="AO82" s="47"/>
      <c r="AP82" s="46"/>
      <c r="AQ82" s="58"/>
      <c r="AR82" s="60"/>
      <c r="AS82" s="58"/>
    </row>
    <row r="83" spans="1:45" s="3" customFormat="1">
      <c r="A83" s="3">
        <v>87</v>
      </c>
      <c r="B83" s="8">
        <v>3.2000000000000001E-2</v>
      </c>
      <c r="C83" s="3">
        <v>0</v>
      </c>
      <c r="D83" s="12">
        <v>3.2000000000000001E-2</v>
      </c>
      <c r="E83" s="66">
        <v>0.11842</v>
      </c>
      <c r="F83" s="13">
        <f>1-Table13[[#This Row],[one-year conditional mortality AT ISSUE]]</f>
        <v>0.88158000000000003</v>
      </c>
      <c r="G83" s="13">
        <f>PRODUCT(F$17:F83)</f>
        <v>0.2780097909775936</v>
      </c>
      <c r="H83" s="13">
        <f>Table13[[#This Row],[one-year conditional survival AT ISSUE]]*(1-Table13[[#This Row],[Lapse rate]])</f>
        <v>0.85336944000000003</v>
      </c>
      <c r="I83" s="13">
        <f>PRODUCT(H$17:H83)</f>
        <v>2.1356384424468678E-2</v>
      </c>
      <c r="J83" s="13">
        <f>G82*Table13[[#This Row],[one-year conditional mortality AT ISSUE]]</f>
        <v>3.7344222245929613E-2</v>
      </c>
      <c r="K83" s="10">
        <f>I82*Table13[[#This Row],[one-year conditional mortality AT ISSUE]]</f>
        <v>2.9635734829519802E-3</v>
      </c>
      <c r="L83" s="3">
        <f t="shared" si="1"/>
        <v>2.4615991981893799E-3</v>
      </c>
      <c r="M83" s="44">
        <f>Table13[[#This Row],[Death benefit pay probability]]/Table13[[#This Row],[unconditional persistency AT ISSUE]]</f>
        <v>0.13876756589736797</v>
      </c>
      <c r="N83" s="44">
        <f>Table13[[#This Row],[one-year conditional mortality AT ISSUE]]/Table13[[#This Row],[one-year conditional persistency AT ISSUE]]</f>
        <v>0.13876756589736797</v>
      </c>
      <c r="O83" s="4">
        <f>(1+$B$14)^(Table13[[#This Row],[age since issue]]-$A$17)</f>
        <v>9.6841852011833929</v>
      </c>
      <c r="P83" s="5">
        <f>(Table13[[#This Row],[level premium unmarked-up]]*Table13[[#This Row],[unconditional persistency AT ISSUE]]-Table13[[#This Row],[Death benefit pay probability]])</f>
        <v>-2.9110026241764841E-3</v>
      </c>
      <c r="Q83" s="4">
        <f>Table13[[#This Row],[Issuer profit with unmarked-up level premium]]/Table13[[#This Row],[Issuer discounter at issue]]</f>
        <v>-3.0059344835957536E-4</v>
      </c>
      <c r="R83" s="4">
        <f>(Table13[[#This Row],[variable premium unmarked up]]*Table13[[#This Row],[unconditional persistency AT ISSUE]]-Table13[[#This Row],[Death benefit pay probability]])</f>
        <v>0</v>
      </c>
      <c r="S83" s="6">
        <f>Table13[[#This Row],[level premium unmarked-up]]*(1+$B$15)</f>
        <v>2.4615991981893799E-3</v>
      </c>
      <c r="T83" s="6">
        <f>MIN(Table13[[#This Row],[variable premium unmarked up]]*(1+$B$15),1)</f>
        <v>0.13876756589736797</v>
      </c>
      <c r="U83" s="6">
        <f>Table13[[#This Row],[level premium marked up]]-Table13[[#This Row],[variable premium marked up]]</f>
        <v>-0.13630596669917858</v>
      </c>
      <c r="V83" s="6">
        <f>Table13[[#This Row],[additional cash]]+V82*(1+$D$2)</f>
        <v>-1.2096046504641624</v>
      </c>
      <c r="W83" s="12">
        <v>0</v>
      </c>
      <c r="X83" s="13">
        <f>1-Table13[[#This Row],[one-year conditional mortality NOW]]</f>
        <v>1</v>
      </c>
      <c r="Y83" s="49">
        <f>PRODUCT(X$17:X83)</f>
        <v>1</v>
      </c>
      <c r="Z83" s="13">
        <v>1</v>
      </c>
      <c r="AA83" s="13">
        <f>PRODUCT(Z$17:Z83)</f>
        <v>1</v>
      </c>
      <c r="AB83" s="50">
        <f>Y82*Table13[[#This Row],[one-year conditional mortality NOW]]</f>
        <v>0</v>
      </c>
      <c r="AC83" s="14">
        <v>0</v>
      </c>
      <c r="AD83" s="28">
        <f>(1+Table13[[#This Row],[Yield curve now]])^(Table13[[#This Row],[age since issue]]-$B$11)</f>
        <v>1</v>
      </c>
      <c r="AE83" s="46">
        <v>0</v>
      </c>
      <c r="AF83" s="42">
        <f>1-Table13[[#This Row],[cumulative debt until t]]</f>
        <v>1</v>
      </c>
      <c r="AG83" s="46">
        <f>Table13[[#This Row],[cumulative debt until t]]*Table13[[#This Row],[Unconditional mortality NOW]]/Table13[[#This Row],[discouter with yield curve]]</f>
        <v>0</v>
      </c>
      <c r="AH83" s="48">
        <f>Table13[[#This Row],[Unconditional mortality NOW]]/Table13[[#This Row],[discouter with yield curve]]</f>
        <v>0</v>
      </c>
      <c r="AI83" s="29">
        <f>Table13[[#This Row],[user profit (death benefit - debt)]]*Table13[[#This Row],[Unconditional mortality NOW]]/Table13[[#This Row],[discouter with yield curve]]</f>
        <v>0</v>
      </c>
      <c r="AJ83" s="29">
        <f>(1+$D$4)^(Table13[[#This Row],[age since issue]]-$B$11)</f>
        <v>1</v>
      </c>
      <c r="AK83" s="57">
        <f>Table13[[#This Row],[level premium marked up]]*Table13[[#This Row],[unconditional survival NOW]]</f>
        <v>2.4615991981893799E-3</v>
      </c>
      <c r="AL83" s="62">
        <f>Table13[[#This Row],[cumulative debt until t]]*Table13[[#This Row],[Unconditional mortality NOW]]</f>
        <v>0</v>
      </c>
      <c r="AM83" s="47">
        <f>Table13[[#This Row],[probablistic premium stream]]/Table13[[#This Row],[lender discounter]]</f>
        <v>2.4615991981893799E-3</v>
      </c>
      <c r="AN83" s="58">
        <f>Table13[[#This Row],[probablistic repay from borrower]]/Table13[[#This Row],[lender discounter]]</f>
        <v>0</v>
      </c>
      <c r="AO83" s="47">
        <f>(Table13[[#This Row],[probablistic repay from borrower]]-Table13[[#This Row],[probablistic premium stream]])/Table13[[#This Row],[lender discounter]]</f>
        <v>-2.4615991981893799E-3</v>
      </c>
      <c r="AP83" s="46">
        <f>AP82*(1+$D$4)+ Table13[[#This Row],[level premium marked up]]</f>
        <v>2.4615991981893799E-3</v>
      </c>
      <c r="AQ83" s="58">
        <f>AP83*Table13[[#This Row],[Unconditional mortality NOW]]</f>
        <v>0</v>
      </c>
      <c r="AR83" s="60">
        <f>Table13[[#This Row],[cumulative debt until t]]*Table13[[#This Row],[Unconditional mortality NOW]]</f>
        <v>0</v>
      </c>
      <c r="AS83" s="58">
        <f>Table13[[#This Row],[lender to pay cumulative probablistic undiscounted]]/Table13[[#This Row],[lender discounter]]</f>
        <v>0</v>
      </c>
    </row>
    <row r="84" spans="1:45" s="3" customFormat="1">
      <c r="A84" s="3">
        <v>88</v>
      </c>
      <c r="B84" s="8">
        <v>3.2000000000000001E-2</v>
      </c>
      <c r="C84" s="3">
        <v>0</v>
      </c>
      <c r="D84" s="12">
        <v>3.2000000000000001E-2</v>
      </c>
      <c r="E84" s="66">
        <v>0.13078999999999999</v>
      </c>
      <c r="F84" s="13">
        <f>1-Table13[[#This Row],[one-year conditional mortality AT ISSUE]]</f>
        <v>0.86921000000000004</v>
      </c>
      <c r="G84" s="13">
        <f>PRODUCT(F$17:F84)</f>
        <v>0.24164889041563414</v>
      </c>
      <c r="H84" s="13">
        <f>Table13[[#This Row],[one-year conditional survival AT ISSUE]]*(1-Table13[[#This Row],[Lapse rate]])</f>
        <v>0.84139527999999997</v>
      </c>
      <c r="I84" s="13">
        <f>PRODUCT(H$17:H84)</f>
        <v>1.7969161052613463E-2</v>
      </c>
      <c r="J84" s="13">
        <f>G83*Table13[[#This Row],[one-year conditional mortality AT ISSUE]]</f>
        <v>3.6360900561959467E-2</v>
      </c>
      <c r="K84" s="10">
        <f>I83*Table13[[#This Row],[one-year conditional mortality AT ISSUE]]</f>
        <v>2.7932015188762583E-3</v>
      </c>
      <c r="L84" s="3">
        <f t="shared" si="1"/>
        <v>2.4615991981893799E-3</v>
      </c>
      <c r="M84" s="44">
        <f>Table13[[#This Row],[Death benefit pay probability]]/Table13[[#This Row],[unconditional persistency AT ISSUE]]</f>
        <v>0.15544418076602473</v>
      </c>
      <c r="N84" s="44">
        <f>Table13[[#This Row],[one-year conditional mortality AT ISSUE]]/Table13[[#This Row],[one-year conditional persistency AT ISSUE]]</f>
        <v>0.15544418076602473</v>
      </c>
      <c r="O84" s="4">
        <f>(1+$B$14)^(Table13[[#This Row],[age since issue]]-$A$17)</f>
        <v>10.023131683224811</v>
      </c>
      <c r="P84" s="5">
        <f>(Table13[[#This Row],[level premium unmarked-up]]*Table13[[#This Row],[unconditional persistency AT ISSUE]]-Table13[[#This Row],[Death benefit pay probability]])</f>
        <v>-2.748968646437009E-3</v>
      </c>
      <c r="Q84" s="4">
        <f>Table13[[#This Row],[Issuer profit with unmarked-up level premium]]/Table13[[#This Row],[Issuer discounter at issue]]</f>
        <v>-2.7426244943362497E-4</v>
      </c>
      <c r="R84" s="4">
        <f>(Table13[[#This Row],[variable premium unmarked up]]*Table13[[#This Row],[unconditional persistency AT ISSUE]]-Table13[[#This Row],[Death benefit pay probability]])</f>
        <v>0</v>
      </c>
      <c r="S84" s="6">
        <f>Table13[[#This Row],[level premium unmarked-up]]*(1+$B$15)</f>
        <v>2.4615991981893799E-3</v>
      </c>
      <c r="T84" s="6">
        <f>MIN(Table13[[#This Row],[variable premium unmarked up]]*(1+$B$15),1)</f>
        <v>0.15544418076602473</v>
      </c>
      <c r="U84" s="6">
        <f>Table13[[#This Row],[level premium marked up]]-Table13[[#This Row],[variable premium marked up]]</f>
        <v>-0.15298258156783534</v>
      </c>
      <c r="V84" s="6">
        <f>Table13[[#This Row],[additional cash]]+V83*(1+$D$2)</f>
        <v>-1.3637968366824618</v>
      </c>
      <c r="W84" s="12">
        <v>0.10241</v>
      </c>
      <c r="X84" s="13">
        <f>1-Table13[[#This Row],[one-year conditional mortality NOW]]</f>
        <v>0.89759</v>
      </c>
      <c r="Y84" s="49">
        <f>PRODUCT(X$17:X84)</f>
        <v>0.89759</v>
      </c>
      <c r="Z84" s="13">
        <f>Table13[[#This Row],[one-year conditional survival NOW]]*(1-Table13[[#This Row],[Lapse rate]])</f>
        <v>0.86886711999999999</v>
      </c>
      <c r="AA84" s="13">
        <f>PRODUCT(Z$17:Z84)</f>
        <v>0.86886711999999999</v>
      </c>
      <c r="AB84" s="50">
        <f>Y83*Table13[[#This Row],[one-year conditional mortality NOW]]</f>
        <v>0.10241</v>
      </c>
      <c r="AC84" s="14">
        <v>5.9999999999999995E-4</v>
      </c>
      <c r="AD84" s="28">
        <f>(1+Table13[[#This Row],[Yield curve now]])^(Table13[[#This Row],[age since issue]]-$B$11)</f>
        <v>1.0005999999999999</v>
      </c>
      <c r="AE84" s="46">
        <f t="shared" ref="AE84:AE88" si="2">(AE83+L83)*(1+$B$2)</f>
        <v>2.8154674197230691E-3</v>
      </c>
      <c r="AF84" s="42">
        <f>1-Table13[[#This Row],[cumulative debt until t]]</f>
        <v>0.99718453258027695</v>
      </c>
      <c r="AG84" s="46">
        <f>Table13[[#This Row],[cumulative debt until t]]*Table13[[#This Row],[Unconditional mortality NOW]]/Table13[[#This Row],[discouter with yield curve]]</f>
        <v>2.8815912298005151E-4</v>
      </c>
      <c r="AH84" s="48">
        <f>Table13[[#This Row],[Unconditional mortality NOW]]/Table13[[#This Row],[discouter with yield curve]]</f>
        <v>0.10234859084549271</v>
      </c>
      <c r="AI84" s="29">
        <f>Table13[[#This Row],[user profit (death benefit - debt)]]*Table13[[#This Row],[Unconditional mortality NOW]]/Table13[[#This Row],[discouter with yield curve]]</f>
        <v>0.10206043172251267</v>
      </c>
      <c r="AJ84" s="29">
        <f>(1+$D$4)^(Table13[[#This Row],[age since issue]]-$B$11)</f>
        <v>1.01</v>
      </c>
      <c r="AK84" s="57">
        <f>Table13[[#This Row],[level premium marked up]]*Table13[[#This Row],[unconditional survival NOW]]</f>
        <v>2.2095068243028057E-3</v>
      </c>
      <c r="AL84" s="62">
        <f>Table13[[#This Row],[cumulative debt until t]]*Table13[[#This Row],[Unconditional mortality NOW]]</f>
        <v>2.8833201845383951E-4</v>
      </c>
      <c r="AM84" s="47">
        <f>Table13[[#This Row],[probablistic premium stream]]/Table13[[#This Row],[lender discounter]]</f>
        <v>2.1876305191116888E-3</v>
      </c>
      <c r="AN84" s="58">
        <f>Table13[[#This Row],[probablistic repay from borrower]]/Table13[[#This Row],[lender discounter]]</f>
        <v>2.8547724599390051E-4</v>
      </c>
      <c r="AO84" s="47">
        <f>(Table13[[#This Row],[probablistic repay from borrower]]-Table13[[#This Row],[probablistic premium stream]])/Table13[[#This Row],[lender discounter]]</f>
        <v>-1.9021532731177883E-3</v>
      </c>
      <c r="AP84" s="46">
        <f>AP83*(1+$D$4)+ Table13[[#This Row],[level premium marked up]]</f>
        <v>4.9478143883606536E-3</v>
      </c>
      <c r="AQ84" s="58">
        <f>AP84*Table13[[#This Row],[Unconditional mortality NOW]]</f>
        <v>5.0670567151201449E-4</v>
      </c>
      <c r="AR84" s="60">
        <f>Table13[[#This Row],[cumulative debt until t]]*Table13[[#This Row],[Unconditional mortality NOW]]</f>
        <v>2.8833201845383951E-4</v>
      </c>
      <c r="AS84" s="58">
        <f>Table13[[#This Row],[lender to pay cumulative probablistic undiscounted]]/Table13[[#This Row],[lender discounter]]</f>
        <v>5.0168878367526186E-4</v>
      </c>
    </row>
    <row r="85" spans="1:45" s="3" customFormat="1">
      <c r="A85" s="3">
        <v>89</v>
      </c>
      <c r="B85" s="8">
        <v>3.2000000000000001E-2</v>
      </c>
      <c r="C85" s="3">
        <v>0</v>
      </c>
      <c r="D85" s="12">
        <v>3.2000000000000001E-2</v>
      </c>
      <c r="E85" s="66">
        <v>0.14399000000000001</v>
      </c>
      <c r="F85" s="13">
        <f>1-Table13[[#This Row],[one-year conditional mortality AT ISSUE]]</f>
        <v>0.85600999999999994</v>
      </c>
      <c r="G85" s="13">
        <f>PRODUCT(F$17:F85)</f>
        <v>0.20685386668468697</v>
      </c>
      <c r="H85" s="13">
        <f>Table13[[#This Row],[one-year conditional survival AT ISSUE]]*(1-Table13[[#This Row],[Lapse rate]])</f>
        <v>0.82861767999999991</v>
      </c>
      <c r="I85" s="13">
        <f>PRODUCT(H$17:H85)</f>
        <v>1.4889564542962924E-2</v>
      </c>
      <c r="J85" s="13">
        <f>G84*Table13[[#This Row],[one-year conditional mortality AT ISSUE]]</f>
        <v>3.4795023730947165E-2</v>
      </c>
      <c r="K85" s="10">
        <f>I84*Table13[[#This Row],[one-year conditional mortality AT ISSUE]]</f>
        <v>2.5873794999658126E-3</v>
      </c>
      <c r="L85" s="3">
        <f t="shared" si="1"/>
        <v>2.4615991981893799E-3</v>
      </c>
      <c r="M85" s="44">
        <f>Table13[[#This Row],[Death benefit pay probability]]/Table13[[#This Row],[unconditional persistency AT ISSUE]]</f>
        <v>0.1737713344470275</v>
      </c>
      <c r="N85" s="44">
        <f>Table13[[#This Row],[one-year conditional mortality AT ISSUE]]/Table13[[#This Row],[one-year conditional persistency AT ISSUE]]</f>
        <v>0.17377133444702753</v>
      </c>
      <c r="O85" s="4">
        <f>(1+$B$14)^(Table13[[#This Row],[age since issue]]-$A$17)</f>
        <v>10.37394129213768</v>
      </c>
      <c r="P85" s="5">
        <f>(Table13[[#This Row],[level premium unmarked-up]]*Table13[[#This Row],[unconditional persistency AT ISSUE]]-Table13[[#This Row],[Death benefit pay probability]])</f>
        <v>-2.5507273598254659E-3</v>
      </c>
      <c r="Q85" s="4">
        <f>Table13[[#This Row],[Issuer profit with unmarked-up level premium]]/Table13[[#This Row],[Issuer discounter at issue]]</f>
        <v>-2.4587832994183611E-4</v>
      </c>
      <c r="R85" s="4">
        <f>(Table13[[#This Row],[variable premium unmarked up]]*Table13[[#This Row],[unconditional persistency AT ISSUE]]-Table13[[#This Row],[Death benefit pay probability]])</f>
        <v>0</v>
      </c>
      <c r="S85" s="6">
        <f>Table13[[#This Row],[level premium unmarked-up]]*(1+$B$15)</f>
        <v>2.4615991981893799E-3</v>
      </c>
      <c r="T85" s="6">
        <f>MIN(Table13[[#This Row],[variable premium unmarked up]]*(1+$B$15),1)</f>
        <v>0.1737713344470275</v>
      </c>
      <c r="U85" s="6">
        <f>Table13[[#This Row],[level premium marked up]]-Table13[[#This Row],[variable premium marked up]]</f>
        <v>-0.17130973524883811</v>
      </c>
      <c r="V85" s="6">
        <f>Table13[[#This Row],[additional cash]]+V84*(1+$D$2)</f>
        <v>-1.5364703687679824</v>
      </c>
      <c r="W85" s="12">
        <v>0.1157</v>
      </c>
      <c r="X85" s="13">
        <f>1-Table13[[#This Row],[one-year conditional mortality NOW]]</f>
        <v>0.88429999999999997</v>
      </c>
      <c r="Y85" s="49">
        <f>PRODUCT(X$17:X85)</f>
        <v>0.79373883700000003</v>
      </c>
      <c r="Z85" s="13">
        <f>Table13[[#This Row],[one-year conditional survival NOW]]*(1-Table13[[#This Row],[Lapse rate]])</f>
        <v>0.85600239999999994</v>
      </c>
      <c r="AA85" s="13">
        <f>PRODUCT(Z$17:Z85)</f>
        <v>0.74375234000108792</v>
      </c>
      <c r="AB85" s="50">
        <f>Y84*Table13[[#This Row],[one-year conditional mortality NOW]]</f>
        <v>0.103851163</v>
      </c>
      <c r="AC85" s="14">
        <v>8.9999999999999998E-4</v>
      </c>
      <c r="AD85" s="28">
        <f>(1+Table13[[#This Row],[Yield curve now]])^(Table13[[#This Row],[age since issue]]-$B$11)</f>
        <v>1.0018008099999998</v>
      </c>
      <c r="AE85" s="46">
        <f t="shared" si="2"/>
        <v>6.035673535061686E-3</v>
      </c>
      <c r="AF85" s="42">
        <f>1-Table13[[#This Row],[cumulative debt until t]]</f>
        <v>0.99396432646493826</v>
      </c>
      <c r="AG85" s="46">
        <f>Table13[[#This Row],[cumulative debt until t]]*Table13[[#This Row],[Unconditional mortality NOW]]/Table13[[#This Row],[discouter with yield curve]]</f>
        <v>6.2568497634223064E-4</v>
      </c>
      <c r="AH85" s="48">
        <f>Table13[[#This Row],[Unconditional mortality NOW]]/Table13[[#This Row],[discouter with yield curve]]</f>
        <v>0.10366448296243644</v>
      </c>
      <c r="AI85" s="29">
        <f>Table13[[#This Row],[user profit (death benefit - debt)]]*Table13[[#This Row],[Unconditional mortality NOW]]/Table13[[#This Row],[discouter with yield curve]]</f>
        <v>0.10303879798609419</v>
      </c>
      <c r="AJ85" s="29">
        <f>(1+$D$4)^(Table13[[#This Row],[age since issue]]-$B$11)</f>
        <v>1.0201</v>
      </c>
      <c r="AK85" s="57">
        <f>Table13[[#This Row],[level premium marked up]]*Table13[[#This Row],[unconditional survival NOW]]</f>
        <v>1.9538668847309711E-3</v>
      </c>
      <c r="AL85" s="62">
        <f>Table13[[#This Row],[cumulative debt until t]]*Table13[[#This Row],[Unconditional mortality NOW]]</f>
        <v>6.2681171610447738E-4</v>
      </c>
      <c r="AM85" s="47">
        <f>Table13[[#This Row],[probablistic premium stream]]/Table13[[#This Row],[lender discounter]]</f>
        <v>1.9153679881687786E-3</v>
      </c>
      <c r="AN85" s="58">
        <f>Table13[[#This Row],[probablistic repay from borrower]]/Table13[[#This Row],[lender discounter]]</f>
        <v>6.1446104901919166E-4</v>
      </c>
      <c r="AO85" s="47">
        <f>(Table13[[#This Row],[probablistic repay from borrower]]-Table13[[#This Row],[probablistic premium stream]])/Table13[[#This Row],[lender discounter]]</f>
        <v>-1.3009069391495868E-3</v>
      </c>
      <c r="AP85" s="46">
        <f>AP84*(1+$D$4)+ Table13[[#This Row],[level premium marked up]]</f>
        <v>7.4588917304336403E-3</v>
      </c>
      <c r="AQ85" s="58">
        <f>AP85*Table13[[#This Row],[Unconditional mortality NOW]]</f>
        <v>7.7461458089661604E-4</v>
      </c>
      <c r="AR85" s="60">
        <f>Table13[[#This Row],[cumulative debt until t]]*Table13[[#This Row],[Unconditional mortality NOW]]</f>
        <v>6.2681171610447738E-4</v>
      </c>
      <c r="AS85" s="58">
        <f>Table13[[#This Row],[lender to pay cumulative probablistic undiscounted]]/Table13[[#This Row],[lender discounter]]</f>
        <v>7.5935161346595047E-4</v>
      </c>
    </row>
    <row r="86" spans="1:45" s="3" customFormat="1">
      <c r="A86" s="3">
        <v>90</v>
      </c>
      <c r="B86" s="8">
        <v>3.2000000000000001E-2</v>
      </c>
      <c r="C86" s="3">
        <v>0</v>
      </c>
      <c r="D86" s="12">
        <v>3.2000000000000001E-2</v>
      </c>
      <c r="E86" s="66">
        <v>0.15786</v>
      </c>
      <c r="F86" s="13">
        <f>1-Table13[[#This Row],[one-year conditional mortality AT ISSUE]]</f>
        <v>0.84214</v>
      </c>
      <c r="G86" s="13">
        <f>PRODUCT(F$17:F86)</f>
        <v>0.17419991528984227</v>
      </c>
      <c r="H86" s="13">
        <f>Table13[[#This Row],[one-year conditional survival AT ISSUE]]*(1-Table13[[#This Row],[Lapse rate]])</f>
        <v>0.81519151999999995</v>
      </c>
      <c r="I86" s="13">
        <f>PRODUCT(H$17:H86)</f>
        <v>1.2137846751916051E-2</v>
      </c>
      <c r="J86" s="13">
        <f>G85*Table13[[#This Row],[one-year conditional mortality AT ISSUE]]</f>
        <v>3.2653951394844685E-2</v>
      </c>
      <c r="K86" s="10">
        <f>I85*Table13[[#This Row],[one-year conditional mortality AT ISSUE]]</f>
        <v>2.3504666587521273E-3</v>
      </c>
      <c r="L86" s="3">
        <f t="shared" si="1"/>
        <v>2.4615991981893799E-3</v>
      </c>
      <c r="M86" s="44">
        <f>Table13[[#This Row],[Death benefit pay probability]]/Table13[[#This Row],[unconditional persistency AT ISSUE]]</f>
        <v>0.19364774550157246</v>
      </c>
      <c r="N86" s="44">
        <f>Table13[[#This Row],[one-year conditional mortality AT ISSUE]]/Table13[[#This Row],[one-year conditional persistency AT ISSUE]]</f>
        <v>0.19364774550157246</v>
      </c>
      <c r="O86" s="4">
        <f>(1+$B$14)^(Table13[[#This Row],[age since issue]]-$A$17)</f>
        <v>10.737029237362496</v>
      </c>
      <c r="P86" s="5">
        <f>(Table13[[#This Row],[level premium unmarked-up]]*Table13[[#This Row],[unconditional persistency AT ISSUE]]-Table13[[#This Row],[Death benefit pay probability]])</f>
        <v>-2.3205881449198653E-3</v>
      </c>
      <c r="Q86" s="4">
        <f>Table13[[#This Row],[Issuer profit with unmarked-up level premium]]/Table13[[#This Row],[Issuer discounter at issue]]</f>
        <v>-2.1612944266228968E-4</v>
      </c>
      <c r="R86" s="4">
        <f>(Table13[[#This Row],[variable premium unmarked up]]*Table13[[#This Row],[unconditional persistency AT ISSUE]]-Table13[[#This Row],[Death benefit pay probability]])</f>
        <v>0</v>
      </c>
      <c r="S86" s="6">
        <f>Table13[[#This Row],[level premium unmarked-up]]*(1+$B$15)</f>
        <v>2.4615991981893799E-3</v>
      </c>
      <c r="T86" s="6">
        <f>MIN(Table13[[#This Row],[variable premium unmarked up]]*(1+$B$15),1)</f>
        <v>0.19364774550157246</v>
      </c>
      <c r="U86" s="6">
        <f>Table13[[#This Row],[level premium marked up]]-Table13[[#This Row],[variable premium marked up]]</f>
        <v>-0.19118614630338307</v>
      </c>
      <c r="V86" s="6">
        <f>Table13[[#This Row],[additional cash]]+V85*(1+$D$2)</f>
        <v>-1.7291929854401333</v>
      </c>
      <c r="W86" s="12">
        <v>0.12984999999999999</v>
      </c>
      <c r="X86" s="13">
        <f>1-Table13[[#This Row],[one-year conditional mortality NOW]]</f>
        <v>0.87014999999999998</v>
      </c>
      <c r="Y86" s="49">
        <f>PRODUCT(X$17:X86)</f>
        <v>0.69067184901555001</v>
      </c>
      <c r="Z86" s="13">
        <f>Table13[[#This Row],[one-year conditional survival NOW]]*(1-Table13[[#This Row],[Lapse rate]])</f>
        <v>0.84230519999999998</v>
      </c>
      <c r="AA86" s="13">
        <f>PRODUCT(Z$17:Z86)</f>
        <v>0.62646646349508439</v>
      </c>
      <c r="AB86" s="50">
        <f>Y85*Table13[[#This Row],[one-year conditional mortality NOW]]</f>
        <v>0.10306698798444999</v>
      </c>
      <c r="AC86" s="14">
        <v>1.9E-3</v>
      </c>
      <c r="AD86" s="28">
        <f>(1+Table13[[#This Row],[Yield curve now]])^(Table13[[#This Row],[age since issue]]-$B$11)</f>
        <v>1.005710836859</v>
      </c>
      <c r="AE86" s="46">
        <f t="shared" si="2"/>
        <v>9.7188017263600945E-3</v>
      </c>
      <c r="AF86" s="42">
        <f>1-Table13[[#This Row],[cumulative debt until t]]</f>
        <v>0.99028119827363992</v>
      </c>
      <c r="AG86" s="46">
        <f>Table13[[#This Row],[cumulative debt until t]]*Table13[[#This Row],[Unconditional mortality NOW]]/Table13[[#This Row],[discouter with yield curve]]</f>
        <v>9.9599962935911323E-4</v>
      </c>
      <c r="AH86" s="48">
        <f>Table13[[#This Row],[Unconditional mortality NOW]]/Table13[[#This Row],[discouter with yield curve]]</f>
        <v>0.1024817315346279</v>
      </c>
      <c r="AI86" s="29">
        <f>Table13[[#This Row],[user profit (death benefit - debt)]]*Table13[[#This Row],[Unconditional mortality NOW]]/Table13[[#This Row],[discouter with yield curve]]</f>
        <v>0.10148573190526879</v>
      </c>
      <c r="AJ86" s="29">
        <f>(1+$D$4)^(Table13[[#This Row],[age since issue]]-$B$11)</f>
        <v>1.0303009999999999</v>
      </c>
      <c r="AK86" s="57">
        <f>Table13[[#This Row],[level premium marked up]]*Table13[[#This Row],[unconditional survival NOW]]</f>
        <v>1.7001572697486543E-3</v>
      </c>
      <c r="AL86" s="62">
        <f>Table13[[#This Row],[cumulative debt until t]]*Table13[[#This Row],[Unconditional mortality NOW]]</f>
        <v>1.0016876207540077E-3</v>
      </c>
      <c r="AM86" s="47">
        <f>Table13[[#This Row],[probablistic premium stream]]/Table13[[#This Row],[lender discounter]]</f>
        <v>1.6501558959456067E-3</v>
      </c>
      <c r="AN86" s="58">
        <f>Table13[[#This Row],[probablistic repay from borrower]]/Table13[[#This Row],[lender discounter]]</f>
        <v>9.722281360049226E-4</v>
      </c>
      <c r="AO86" s="47">
        <f>(Table13[[#This Row],[probablistic repay from borrower]]-Table13[[#This Row],[probablistic premium stream]])/Table13[[#This Row],[lender discounter]]</f>
        <v>-6.7792775994068399E-4</v>
      </c>
      <c r="AP86" s="46">
        <f>AP85*(1+$D$4)+ Table13[[#This Row],[level premium marked up]]</f>
        <v>9.9950798459273564E-3</v>
      </c>
      <c r="AQ86" s="58">
        <f>AP86*Table13[[#This Row],[Unconditional mortality NOW]]</f>
        <v>1.0301627743838132E-3</v>
      </c>
      <c r="AR86" s="60">
        <f>Table13[[#This Row],[cumulative debt until t]]*Table13[[#This Row],[Unconditional mortality NOW]]</f>
        <v>1.0016876207540077E-3</v>
      </c>
      <c r="AS86" s="58">
        <f>Table13[[#This Row],[lender to pay cumulative probablistic undiscounted]]/Table13[[#This Row],[lender discounter]]</f>
        <v>9.9986583957873787E-4</v>
      </c>
    </row>
    <row r="87" spans="1:45" s="3" customFormat="1">
      <c r="A87" s="3">
        <v>91</v>
      </c>
      <c r="B87" s="8">
        <v>3.2000000000000001E-2</v>
      </c>
      <c r="C87" s="3">
        <v>0</v>
      </c>
      <c r="D87" s="12">
        <v>3.2000000000000001E-2</v>
      </c>
      <c r="E87" s="66">
        <v>0.17224999999999999</v>
      </c>
      <c r="F87" s="13">
        <f>1-Table13[[#This Row],[one-year conditional mortality AT ISSUE]]</f>
        <v>0.82774999999999999</v>
      </c>
      <c r="G87" s="13">
        <f>PRODUCT(F$17:F87)</f>
        <v>0.14419397988116694</v>
      </c>
      <c r="H87" s="13">
        <f>Table13[[#This Row],[one-year conditional survival AT ISSUE]]*(1-Table13[[#This Row],[Lapse rate]])</f>
        <v>0.80126199999999992</v>
      </c>
      <c r="I87" s="13">
        <f>PRODUCT(H$17:H87)</f>
        <v>9.7255953641337579E-3</v>
      </c>
      <c r="J87" s="13">
        <f>G86*Table13[[#This Row],[one-year conditional mortality AT ISSUE]]</f>
        <v>3.0005935408675331E-2</v>
      </c>
      <c r="K87" s="10">
        <f>I86*Table13[[#This Row],[one-year conditional mortality AT ISSUE]]</f>
        <v>2.0907441030175397E-3</v>
      </c>
      <c r="L87" s="3">
        <f t="shared" si="1"/>
        <v>2.4615991981893799E-3</v>
      </c>
      <c r="M87" s="44">
        <f>Table13[[#This Row],[Death benefit pay probability]]/Table13[[#This Row],[unconditional persistency AT ISSUE]]</f>
        <v>0.21497337949384845</v>
      </c>
      <c r="N87" s="44">
        <f>Table13[[#This Row],[one-year conditional mortality AT ISSUE]]/Table13[[#This Row],[one-year conditional persistency AT ISSUE]]</f>
        <v>0.21497337949384845</v>
      </c>
      <c r="O87" s="4">
        <f>(1+$B$14)^(Table13[[#This Row],[age since issue]]-$A$17)</f>
        <v>11.112825260670185</v>
      </c>
      <c r="P87" s="5">
        <f>(Table13[[#This Row],[level premium unmarked-up]]*Table13[[#This Row],[unconditional persistency AT ISSUE]]-Table13[[#This Row],[Death benefit pay probability]])</f>
        <v>-2.0668035852672738E-3</v>
      </c>
      <c r="Q87" s="4">
        <f>Table13[[#This Row],[Issuer profit with unmarked-up level premium]]/Table13[[#This Row],[Issuer discounter at issue]]</f>
        <v>-1.8598363033584049E-4</v>
      </c>
      <c r="R87" s="4">
        <f>(Table13[[#This Row],[variable premium unmarked up]]*Table13[[#This Row],[unconditional persistency AT ISSUE]]-Table13[[#This Row],[Death benefit pay probability]])</f>
        <v>0</v>
      </c>
      <c r="S87" s="6">
        <f>Table13[[#This Row],[level premium unmarked-up]]*(1+$B$15)</f>
        <v>2.4615991981893799E-3</v>
      </c>
      <c r="T87" s="6">
        <f>MIN(Table13[[#This Row],[variable premium unmarked up]]*(1+$B$15),1)</f>
        <v>0.21497337949384845</v>
      </c>
      <c r="U87" s="6">
        <f>Table13[[#This Row],[level premium marked up]]-Table13[[#This Row],[variable premium marked up]]</f>
        <v>-0.21251178029565906</v>
      </c>
      <c r="V87" s="6">
        <f>Table13[[#This Row],[additional cash]]+V86*(1+$D$2)</f>
        <v>-1.9434339587212324</v>
      </c>
      <c r="W87" s="12">
        <v>0.1447</v>
      </c>
      <c r="X87" s="13">
        <f>1-Table13[[#This Row],[one-year conditional mortality NOW]]</f>
        <v>0.85529999999999995</v>
      </c>
      <c r="Y87" s="49">
        <f>PRODUCT(X$17:X87)</f>
        <v>0.59073163246299987</v>
      </c>
      <c r="Z87" s="13">
        <f>Table13[[#This Row],[one-year conditional survival NOW]]*(1-Table13[[#This Row],[Lapse rate]])</f>
        <v>0.82793039999999996</v>
      </c>
      <c r="AA87" s="13">
        <f>PRODUCT(Z$17:Z87)</f>
        <v>0.51867062970807054</v>
      </c>
      <c r="AB87" s="50">
        <f>Y86*Table13[[#This Row],[one-year conditional mortality NOW]]</f>
        <v>9.9940216552550087E-2</v>
      </c>
      <c r="AC87" s="14">
        <v>3.3E-3</v>
      </c>
      <c r="AD87" s="28">
        <f>(1+Table13[[#This Row],[Yield curve now]])^(Table13[[#This Row],[age since issue]]-$B$11)</f>
        <v>1.0132654838665924</v>
      </c>
      <c r="AE87" s="46">
        <f t="shared" si="2"/>
        <v>1.393139955012102E-2</v>
      </c>
      <c r="AF87" s="42">
        <f>1-Table13[[#This Row],[cumulative debt until t]]</f>
        <v>0.98606860044987898</v>
      </c>
      <c r="AG87" s="46">
        <f>Table13[[#This Row],[cumulative debt until t]]*Table13[[#This Row],[Unconditional mortality NOW]]/Table13[[#This Row],[discouter with yield curve]]</f>
        <v>1.3740792616424562E-3</v>
      </c>
      <c r="AH87" s="48">
        <f>Table13[[#This Row],[Unconditional mortality NOW]]/Table13[[#This Row],[discouter with yield curve]]</f>
        <v>9.8631817765252441E-2</v>
      </c>
      <c r="AI87" s="29">
        <f>Table13[[#This Row],[user profit (death benefit - debt)]]*Table13[[#This Row],[Unconditional mortality NOW]]/Table13[[#This Row],[discouter with yield curve]]</f>
        <v>9.7257738503609983E-2</v>
      </c>
      <c r="AJ87" s="29">
        <f>(1+$D$4)^(Table13[[#This Row],[age since issue]]-$B$11)</f>
        <v>1.04060401</v>
      </c>
      <c r="AK87" s="57">
        <f>Table13[[#This Row],[level premium marked up]]*Table13[[#This Row],[unconditional survival NOW]]</f>
        <v>1.4541445128160239E-3</v>
      </c>
      <c r="AL87" s="62">
        <f>Table13[[#This Row],[cumulative debt until t]]*Table13[[#This Row],[Unconditional mortality NOW]]</f>
        <v>1.3923070879191936E-3</v>
      </c>
      <c r="AM87" s="47">
        <f>Table13[[#This Row],[probablistic premium stream]]/Table13[[#This Row],[lender discounter]]</f>
        <v>1.3974042948537396E-3</v>
      </c>
      <c r="AN87" s="58">
        <f>Table13[[#This Row],[probablistic repay from borrower]]/Table13[[#This Row],[lender discounter]]</f>
        <v>1.3379797449744534E-3</v>
      </c>
      <c r="AO87" s="47">
        <f>(Table13[[#This Row],[probablistic repay from borrower]]-Table13[[#This Row],[probablistic premium stream]])/Table13[[#This Row],[lender discounter]]</f>
        <v>-5.9424549879286269E-5</v>
      </c>
      <c r="AP87" s="46">
        <f>AP86*(1+$D$4)+ Table13[[#This Row],[level premium marked up]]</f>
        <v>1.255662984257601E-2</v>
      </c>
      <c r="AQ87" s="58">
        <f>AP87*Table13[[#This Row],[Unconditional mortality NOW]]</f>
        <v>1.2549123056372594E-3</v>
      </c>
      <c r="AR87" s="60">
        <f>Table13[[#This Row],[cumulative debt until t]]*Table13[[#This Row],[Unconditional mortality NOW]]</f>
        <v>1.3923070879191936E-3</v>
      </c>
      <c r="AS87" s="58">
        <f>Table13[[#This Row],[lender to pay cumulative probablistic undiscounted]]/Table13[[#This Row],[lender discounter]]</f>
        <v>1.2059460597670186E-3</v>
      </c>
    </row>
    <row r="88" spans="1:45" s="3" customFormat="1">
      <c r="A88" s="3">
        <v>92</v>
      </c>
      <c r="B88" s="8">
        <v>3.2000000000000001E-2</v>
      </c>
      <c r="C88" s="3">
        <v>0</v>
      </c>
      <c r="D88" s="12">
        <v>3.2000000000000001E-2</v>
      </c>
      <c r="E88" s="66">
        <v>0.18554000000000001</v>
      </c>
      <c r="F88" s="13">
        <f>1-Table13[[#This Row],[one-year conditional mortality AT ISSUE]]</f>
        <v>0.81445999999999996</v>
      </c>
      <c r="G88" s="13">
        <f>PRODUCT(F$17:F88)</f>
        <v>0.11744022885401523</v>
      </c>
      <c r="H88" s="13">
        <f>Table13[[#This Row],[one-year conditional survival AT ISSUE]]*(1-Table13[[#This Row],[Lapse rate]])</f>
        <v>0.78839727999999998</v>
      </c>
      <c r="I88" s="13">
        <f>PRODUCT(H$17:H88)</f>
        <v>7.6676329314636638E-3</v>
      </c>
      <c r="J88" s="13">
        <f>G87*Table13[[#This Row],[one-year conditional mortality AT ISSUE]]</f>
        <v>2.6753751027151718E-2</v>
      </c>
      <c r="K88" s="10">
        <f>I87*Table13[[#This Row],[one-year conditional mortality AT ISSUE]]</f>
        <v>1.8044869638613775E-3</v>
      </c>
      <c r="L88" s="3">
        <f t="shared" si="1"/>
        <v>2.4615991981893799E-3</v>
      </c>
      <c r="M88" s="44">
        <f>Table13[[#This Row],[Death benefit pay probability]]/Table13[[#This Row],[unconditional persistency AT ISSUE]]</f>
        <v>0.23533820410948147</v>
      </c>
      <c r="N88" s="44">
        <f>Table13[[#This Row],[one-year conditional mortality AT ISSUE]]/Table13[[#This Row],[one-year conditional persistency AT ISSUE]]</f>
        <v>0.23533820410948147</v>
      </c>
      <c r="O88" s="4">
        <f>(1+$B$14)^(Table13[[#This Row],[age since issue]]-$A$17)</f>
        <v>11.501774144793639</v>
      </c>
      <c r="P88" s="5">
        <f>(Table13[[#This Row],[level premium unmarked-up]]*Table13[[#This Row],[unconditional persistency AT ISSUE]]-Table13[[#This Row],[Death benefit pay probability]])</f>
        <v>-1.7856123247852762E-3</v>
      </c>
      <c r="Q88" s="4">
        <f>Table13[[#This Row],[Issuer profit with unmarked-up level premium]]/Table13[[#This Row],[Issuer discounter at issue]]</f>
        <v>-1.5524668649432194E-4</v>
      </c>
      <c r="R88" s="4">
        <f>(Table13[[#This Row],[variable premium unmarked up]]*Table13[[#This Row],[unconditional persistency AT ISSUE]]-Table13[[#This Row],[Death benefit pay probability]])</f>
        <v>0</v>
      </c>
      <c r="S88" s="6">
        <f>Table13[[#This Row],[level premium unmarked-up]]*(1+$B$15)</f>
        <v>2.4615991981893799E-3</v>
      </c>
      <c r="T88" s="6">
        <f>MIN(Table13[[#This Row],[variable premium unmarked up]]*(1+$B$15),1)</f>
        <v>0.23533820410948147</v>
      </c>
      <c r="U88" s="6">
        <f>Table13[[#This Row],[level premium marked up]]-Table13[[#This Row],[variable premium marked up]]</f>
        <v>-0.23287660491129208</v>
      </c>
      <c r="V88" s="6">
        <f>Table13[[#This Row],[additional cash]]+V87*(1+$D$2)</f>
        <v>-2.1782539975912454</v>
      </c>
      <c r="W88" s="12">
        <v>0.15973000000000001</v>
      </c>
      <c r="X88" s="13">
        <f>1-Table13[[#This Row],[one-year conditional mortality NOW]]</f>
        <v>0.84026999999999996</v>
      </c>
      <c r="Y88" s="49">
        <f>PRODUCT(X$17:X88)</f>
        <v>0.49637406880968488</v>
      </c>
      <c r="Z88" s="13">
        <f>Table13[[#This Row],[one-year conditional survival NOW]]*(1-Table13[[#This Row],[Lapse rate]])</f>
        <v>0.81338135999999994</v>
      </c>
      <c r="AA88" s="13">
        <f>PRODUCT(Z$17:Z88)</f>
        <v>0.4218770221840068</v>
      </c>
      <c r="AB88" s="50">
        <f>Y87*Table13[[#This Row],[one-year conditional mortality NOW]]</f>
        <v>9.4357563653314977E-2</v>
      </c>
      <c r="AC88" s="14">
        <v>4.6999999999999898E-3</v>
      </c>
      <c r="AD88" s="28">
        <f>(1+Table13[[#This Row],[Yield curve now]])^(Table13[[#This Row],[age since issue]]-$B$11)</f>
        <v>1.0237219406721338</v>
      </c>
      <c r="AE88" s="46">
        <f t="shared" si="2"/>
        <v>1.874958113464505E-2</v>
      </c>
      <c r="AF88" s="42">
        <f>1-Table13[[#This Row],[cumulative debt until t]]</f>
        <v>0.98125041886535491</v>
      </c>
      <c r="AG88" s="46">
        <f>Table13[[#This Row],[cumulative debt until t]]*Table13[[#This Row],[Unconditional mortality NOW]]/Table13[[#This Row],[discouter with yield curve]]</f>
        <v>1.7281692665722323E-3</v>
      </c>
      <c r="AH88" s="48">
        <f>Table13[[#This Row],[Unconditional mortality NOW]]/Table13[[#This Row],[discouter with yield curve]]</f>
        <v>9.2171086605180766E-2</v>
      </c>
      <c r="AI88" s="29">
        <f>Table13[[#This Row],[user profit (death benefit - debt)]]*Table13[[#This Row],[Unconditional mortality NOW]]/Table13[[#This Row],[discouter with yield curve]]</f>
        <v>9.0442917338608542E-2</v>
      </c>
      <c r="AJ88" s="29">
        <f>(1+$D$4)^(Table13[[#This Row],[age since issue]]-$B$11)</f>
        <v>1.0510100500999999</v>
      </c>
      <c r="AK88" s="57">
        <f>Table13[[#This Row],[level premium marked up]]*Table13[[#This Row],[unconditional survival NOW]]</f>
        <v>1.2218740097839204E-3</v>
      </c>
      <c r="AL88" s="62">
        <f>Table13[[#This Row],[cumulative debt until t]]*Table13[[#This Row],[Unconditional mortality NOW]]</f>
        <v>1.7691647953852639E-3</v>
      </c>
      <c r="AM88" s="47">
        <f>Table13[[#This Row],[probablistic premium stream]]/Table13[[#This Row],[lender discounter]]</f>
        <v>1.1625711948878732E-3</v>
      </c>
      <c r="AN88" s="58">
        <f>Table13[[#This Row],[probablistic repay from borrower]]/Table13[[#This Row],[lender discounter]]</f>
        <v>1.6832995985308933E-3</v>
      </c>
      <c r="AO88" s="47">
        <f>(Table13[[#This Row],[probablistic repay from borrower]]-Table13[[#This Row],[probablistic premium stream]])/Table13[[#This Row],[lender discounter]]</f>
        <v>5.2072840364302008E-4</v>
      </c>
      <c r="AP88" s="46">
        <f>AP87*(1+$D$4)+ Table13[[#This Row],[level premium marked up]]</f>
        <v>1.5143795339191151E-2</v>
      </c>
      <c r="AQ88" s="58">
        <f>AP88*Table13[[#This Row],[Unconditional mortality NOW]]</f>
        <v>1.4289316326705037E-3</v>
      </c>
      <c r="AR88" s="60">
        <f>Table13[[#This Row],[cumulative debt until t]]*Table13[[#This Row],[Unconditional mortality NOW]]</f>
        <v>1.7691647953852639E-3</v>
      </c>
      <c r="AS88" s="58">
        <f>Table13[[#This Row],[lender to pay cumulative probablistic undiscounted]]/Table13[[#This Row],[lender discounter]]</f>
        <v>1.3595794184218751E-3</v>
      </c>
    </row>
    <row r="89" spans="1:45" s="3" customFormat="1">
      <c r="A89" s="3">
        <v>93</v>
      </c>
      <c r="B89" s="8">
        <v>3.2000000000000001E-2</v>
      </c>
      <c r="C89" s="3">
        <v>0</v>
      </c>
      <c r="D89" s="12">
        <v>3.2000000000000001E-2</v>
      </c>
      <c r="E89" s="66">
        <v>0.19930999999999999</v>
      </c>
      <c r="F89" s="13">
        <f>1-Table13[[#This Row],[one-year conditional mortality AT ISSUE]]</f>
        <v>0.80069000000000001</v>
      </c>
      <c r="G89" s="13">
        <f>PRODUCT(F$17:F89)</f>
        <v>9.4033216841121453E-2</v>
      </c>
      <c r="H89" s="13">
        <f>Table13[[#This Row],[one-year conditional survival AT ISSUE]]*(1-Table13[[#This Row],[Lapse rate]])</f>
        <v>0.77506792000000002</v>
      </c>
      <c r="I89" s="13">
        <f>PRODUCT(H$17:H89)</f>
        <v>5.9429363075130448E-3</v>
      </c>
      <c r="J89" s="13">
        <f>G88*Table13[[#This Row],[one-year conditional mortality AT ISSUE]]</f>
        <v>2.3407012012893774E-2</v>
      </c>
      <c r="K89" s="10">
        <f>I88*Table13[[#This Row],[one-year conditional mortality AT ISSUE]]</f>
        <v>1.5282359195700227E-3</v>
      </c>
      <c r="L89" s="3">
        <f t="shared" si="1"/>
        <v>2.4615991981893799E-3</v>
      </c>
      <c r="M89" s="44">
        <f>Table13[[#This Row],[Death benefit pay probability]]/Table13[[#This Row],[unconditional persistency AT ISSUE]]</f>
        <v>0.25715165710896665</v>
      </c>
      <c r="N89" s="44">
        <f>Table13[[#This Row],[one-year conditional mortality AT ISSUE]]/Table13[[#This Row],[one-year conditional persistency AT ISSUE]]</f>
        <v>0.25715165710896665</v>
      </c>
      <c r="O89" s="4">
        <f>(1+$B$14)^(Table13[[#This Row],[age since issue]]-$A$17)</f>
        <v>11.904336239861415</v>
      </c>
      <c r="P89" s="5">
        <f>(Table13[[#This Row],[level premium unmarked-up]]*Table13[[#This Row],[unconditional persistency AT ISSUE]]-Table13[[#This Row],[Death benefit pay probability]])</f>
        <v>-1.5136067923205581E-3</v>
      </c>
      <c r="Q89" s="4">
        <f>Table13[[#This Row],[Issuer profit with unmarked-up level premium]]/Table13[[#This Row],[Issuer discounter at issue]]</f>
        <v>-1.2714751682267494E-4</v>
      </c>
      <c r="R89" s="4">
        <f>(Table13[[#This Row],[variable premium unmarked up]]*Table13[[#This Row],[unconditional persistency AT ISSUE]]-Table13[[#This Row],[Death benefit pay probability]])</f>
        <v>2.1684043449710089E-19</v>
      </c>
      <c r="S89" s="6">
        <f>Table13[[#This Row],[level premium unmarked-up]]*(1+$B$15)</f>
        <v>2.4615991981893799E-3</v>
      </c>
      <c r="T89" s="6">
        <f>MIN(Table13[[#This Row],[variable premium unmarked up]]*(1+$B$15),1)</f>
        <v>0.25715165710896665</v>
      </c>
      <c r="U89" s="6">
        <f>Table13[[#This Row],[level premium marked up]]-Table13[[#This Row],[variable premium marked up]]</f>
        <v>-0.25469005791077726</v>
      </c>
      <c r="V89" s="6">
        <f>Table13[[#This Row],[additional cash]]+V88*(1+$D$2)</f>
        <v>-2.4351223094996137</v>
      </c>
      <c r="W89" s="12">
        <v>0.17457</v>
      </c>
      <c r="X89" s="13">
        <f>1-Table13[[#This Row],[one-year conditional mortality NOW]]</f>
        <v>0.82543</v>
      </c>
      <c r="Y89" s="49">
        <f>PRODUCT(X$17:X89)</f>
        <v>0.40972204761757819</v>
      </c>
      <c r="Z89" s="13">
        <f>Table13[[#This Row],[one-year conditional survival NOW]]*(1-Table13[[#This Row],[Lapse rate]])</f>
        <v>0.79901623999999993</v>
      </c>
      <c r="AA89" s="13">
        <f>PRODUCT(Z$17:Z89)</f>
        <v>0.33708659200786167</v>
      </c>
      <c r="AB89" s="50">
        <f>Y88*Table13[[#This Row],[one-year conditional mortality NOW]]</f>
        <v>8.6652021192106687E-2</v>
      </c>
      <c r="AC89" s="14">
        <v>6.4999999999999997E-3</v>
      </c>
      <c r="AD89" s="28">
        <f>(1+Table13[[#This Row],[Yield curve now]])^(Table13[[#This Row],[age since issue]]-$B$11)</f>
        <v>1.0396392693456298</v>
      </c>
      <c r="AE89" s="46">
        <f t="shared" ref="AE89:AE152" si="3">(AE88+L88)*(1+$B$2)</f>
        <v>2.4260402426557675E-2</v>
      </c>
      <c r="AF89" s="42">
        <f>1-Table13[[#This Row],[cumulative debt until t]]</f>
        <v>0.97573959757344231</v>
      </c>
      <c r="AG89" s="46">
        <f>Table13[[#This Row],[cumulative debt until t]]*Table13[[#This Row],[Unconditional mortality NOW]]/Table13[[#This Row],[discouter with yield curve]]</f>
        <v>2.0220599271113409E-3</v>
      </c>
      <c r="AH89" s="48">
        <f>Table13[[#This Row],[Unconditional mortality NOW]]/Table13[[#This Row],[discouter with yield curve]]</f>
        <v>8.3348160989193149E-2</v>
      </c>
      <c r="AI89" s="29">
        <f>Table13[[#This Row],[user profit (death benefit - debt)]]*Table13[[#This Row],[Unconditional mortality NOW]]/Table13[[#This Row],[discouter with yield curve]]</f>
        <v>8.1326101062081796E-2</v>
      </c>
      <c r="AJ89" s="29">
        <f>(1+$D$4)^(Table13[[#This Row],[age since issue]]-$B$11)</f>
        <v>1.0615201506010001</v>
      </c>
      <c r="AK89" s="57">
        <f>Table13[[#This Row],[level premium marked up]]*Table13[[#This Row],[unconditional survival NOW]]</f>
        <v>1.0085714638959414E-3</v>
      </c>
      <c r="AL89" s="62">
        <f>Table13[[#This Row],[cumulative debt until t]]*Table13[[#This Row],[Unconditional mortality NOW]]</f>
        <v>2.102212905195112E-3</v>
      </c>
      <c r="AM89" s="47">
        <f>Table13[[#This Row],[probablistic premium stream]]/Table13[[#This Row],[lender discounter]]</f>
        <v>9.5011994197653164E-4</v>
      </c>
      <c r="AN89" s="58">
        <f>Table13[[#This Row],[probablistic repay from borrower]]/Table13[[#This Row],[lender discounter]]</f>
        <v>1.9803796508289584E-3</v>
      </c>
      <c r="AO89" s="47">
        <f>(Table13[[#This Row],[probablistic repay from borrower]]-Table13[[#This Row],[probablistic premium stream]])/Table13[[#This Row],[lender discounter]]</f>
        <v>1.0302597088524268E-3</v>
      </c>
      <c r="AP89" s="46">
        <f>AP88*(1+$D$4)+ Table13[[#This Row],[level premium marked up]]</f>
        <v>1.7756832490772444E-2</v>
      </c>
      <c r="AQ89" s="58">
        <f>AP89*Table13[[#This Row],[Unconditional mortality NOW]]</f>
        <v>1.5386654252951023E-3</v>
      </c>
      <c r="AR89" s="60">
        <f>Table13[[#This Row],[cumulative debt until t]]*Table13[[#This Row],[Unconditional mortality NOW]]</f>
        <v>2.102212905195112E-3</v>
      </c>
      <c r="AS89" s="58">
        <f>Table13[[#This Row],[lender to pay cumulative probablistic undiscounted]]/Table13[[#This Row],[lender discounter]]</f>
        <v>1.4494924325496386E-3</v>
      </c>
    </row>
    <row r="90" spans="1:45" s="3" customFormat="1">
      <c r="A90" s="3">
        <v>94</v>
      </c>
      <c r="B90" s="8">
        <v>3.2000000000000001E-2</v>
      </c>
      <c r="C90" s="3">
        <v>0</v>
      </c>
      <c r="D90" s="12">
        <v>3.2000000000000001E-2</v>
      </c>
      <c r="E90" s="66">
        <v>0.21373</v>
      </c>
      <c r="F90" s="13">
        <f>1-Table13[[#This Row],[one-year conditional mortality AT ISSUE]]</f>
        <v>0.78627000000000002</v>
      </c>
      <c r="G90" s="13">
        <f>PRODUCT(F$17:F90)</f>
        <v>7.3935497405668571E-2</v>
      </c>
      <c r="H90" s="13">
        <f>Table13[[#This Row],[one-year conditional survival AT ISSUE]]*(1-Table13[[#This Row],[Lapse rate]])</f>
        <v>0.76110935999999996</v>
      </c>
      <c r="I90" s="13">
        <f>PRODUCT(H$17:H90)</f>
        <v>4.5232244495320168E-3</v>
      </c>
      <c r="J90" s="13">
        <f>G89*Table13[[#This Row],[one-year conditional mortality AT ISSUE]]</f>
        <v>2.0097719435452889E-2</v>
      </c>
      <c r="K90" s="10">
        <f>I89*Table13[[#This Row],[one-year conditional mortality AT ISSUE]]</f>
        <v>1.2701837770047631E-3</v>
      </c>
      <c r="L90" s="3">
        <f t="shared" si="1"/>
        <v>2.4615991981893799E-3</v>
      </c>
      <c r="M90" s="44">
        <f>Table13[[#This Row],[Death benefit pay probability]]/Table13[[#This Row],[unconditional persistency AT ISSUE]]</f>
        <v>0.28081378476280988</v>
      </c>
      <c r="N90" s="44">
        <f>Table13[[#This Row],[one-year conditional mortality AT ISSUE]]/Table13[[#This Row],[one-year conditional persistency AT ISSUE]]</f>
        <v>0.28081378476280994</v>
      </c>
      <c r="O90" s="4">
        <f>(1+$B$14)^(Table13[[#This Row],[age since issue]]-$A$17)</f>
        <v>12.320988008256563</v>
      </c>
      <c r="P90" s="5">
        <f>(Table13[[#This Row],[level premium unmarked-up]]*Table13[[#This Row],[unconditional persistency AT ISSUE]]-Table13[[#This Row],[Death benefit pay probability]])</f>
        <v>-1.2590494113265645E-3</v>
      </c>
      <c r="Q90" s="4">
        <f>Table13[[#This Row],[Issuer profit with unmarked-up level premium]]/Table13[[#This Row],[Issuer discounter at issue]]</f>
        <v>-1.0218737413613649E-4</v>
      </c>
      <c r="R90" s="4">
        <f>(Table13[[#This Row],[variable premium unmarked up]]*Table13[[#This Row],[unconditional persistency AT ISSUE]]-Table13[[#This Row],[Death benefit pay probability]])</f>
        <v>0</v>
      </c>
      <c r="S90" s="6">
        <f>Table13[[#This Row],[level premium unmarked-up]]*(1+$B$15)</f>
        <v>2.4615991981893799E-3</v>
      </c>
      <c r="T90" s="6">
        <f>MIN(Table13[[#This Row],[variable premium unmarked up]]*(1+$B$15),1)</f>
        <v>0.28081378476280988</v>
      </c>
      <c r="U90" s="6">
        <f>Table13[[#This Row],[level premium marked up]]-Table13[[#This Row],[variable premium marked up]]</f>
        <v>-0.27835218556462049</v>
      </c>
      <c r="V90" s="6">
        <f>Table13[[#This Row],[additional cash]]+V89*(1+$D$2)</f>
        <v>-2.7159096173737334</v>
      </c>
      <c r="W90" s="12">
        <v>0.18906999999999999</v>
      </c>
      <c r="X90" s="13">
        <f>1-Table13[[#This Row],[one-year conditional mortality NOW]]</f>
        <v>0.81093000000000004</v>
      </c>
      <c r="Y90" s="49">
        <f>PRODUCT(X$17:X90)</f>
        <v>0.33225590007452271</v>
      </c>
      <c r="Z90" s="13">
        <f>Table13[[#This Row],[one-year conditional survival NOW]]*(1-Table13[[#This Row],[Lapse rate]])</f>
        <v>0.78498024</v>
      </c>
      <c r="AA90" s="13">
        <f>PRODUCT(Z$17:Z90)</f>
        <v>0.26460631389511335</v>
      </c>
      <c r="AB90" s="50">
        <f>Y89*Table13[[#This Row],[one-year conditional mortality NOW]]</f>
        <v>7.7466147543055502E-2</v>
      </c>
      <c r="AC90" s="14">
        <v>8.3000000000000001E-3</v>
      </c>
      <c r="AD90" s="28">
        <f>(1+Table13[[#This Row],[Yield curve now]])^(Table13[[#This Row],[age since issue]]-$B$11)</f>
        <v>1.0595668694786133</v>
      </c>
      <c r="AE90" s="46">
        <f t="shared" si="3"/>
        <v>3.0563434136475595E-2</v>
      </c>
      <c r="AF90" s="42">
        <f>1-Table13[[#This Row],[cumulative debt until t]]</f>
        <v>0.96943656586352445</v>
      </c>
      <c r="AG90" s="46">
        <f>Table13[[#This Row],[cumulative debt until t]]*Table13[[#This Row],[Unconditional mortality NOW]]/Table13[[#This Row],[discouter with yield curve]]</f>
        <v>2.2345276796015058E-3</v>
      </c>
      <c r="AH90" s="48">
        <f>Table13[[#This Row],[Unconditional mortality NOW]]/Table13[[#This Row],[discouter with yield curve]]</f>
        <v>7.3111145482658096E-2</v>
      </c>
      <c r="AI90" s="29">
        <f>Table13[[#This Row],[user profit (death benefit - debt)]]*Table13[[#This Row],[Unconditional mortality NOW]]/Table13[[#This Row],[discouter with yield curve]]</f>
        <v>7.0876617803056596E-2</v>
      </c>
      <c r="AJ90" s="29">
        <f>(1+$D$4)^(Table13[[#This Row],[age since issue]]-$B$11)</f>
        <v>1.0721353521070098</v>
      </c>
      <c r="AK90" s="57">
        <f>Table13[[#This Row],[level premium marked up]]*Table13[[#This Row],[unconditional survival NOW]]</f>
        <v>8.1788085721713581E-4</v>
      </c>
      <c r="AL90" s="62">
        <f>Table13[[#This Row],[cumulative debt until t]]*Table13[[#This Row],[Unconditional mortality NOW]]</f>
        <v>2.3676314982386776E-3</v>
      </c>
      <c r="AM90" s="47">
        <f>Table13[[#This Row],[probablistic premium stream]]/Table13[[#This Row],[lender discounter]]</f>
        <v>7.6285224212577143E-4</v>
      </c>
      <c r="AN90" s="58">
        <f>Table13[[#This Row],[probablistic repay from borrower]]/Table13[[#This Row],[lender discounter]]</f>
        <v>2.20833264530052E-3</v>
      </c>
      <c r="AO90" s="47">
        <f>(Table13[[#This Row],[probablistic repay from borrower]]-Table13[[#This Row],[probablistic premium stream]])/Table13[[#This Row],[lender discounter]]</f>
        <v>1.4454804031747487E-3</v>
      </c>
      <c r="AP90" s="46">
        <f>AP89*(1+$D$4)+ Table13[[#This Row],[level premium marked up]]</f>
        <v>2.0396000013869549E-2</v>
      </c>
      <c r="AQ90" s="58">
        <f>AP90*Table13[[#This Row],[Unconditional mortality NOW]]</f>
        <v>1.5799995463625805E-3</v>
      </c>
      <c r="AR90" s="60">
        <f>Table13[[#This Row],[cumulative debt until t]]*Table13[[#This Row],[Unconditional mortality NOW]]</f>
        <v>2.3676314982386776E-3</v>
      </c>
      <c r="AS90" s="58">
        <f>Table13[[#This Row],[lender to pay cumulative probablistic undiscounted]]/Table13[[#This Row],[lender discounter]]</f>
        <v>1.4736941033214627E-3</v>
      </c>
    </row>
    <row r="91" spans="1:45" s="3" customFormat="1">
      <c r="A91" s="3">
        <v>95</v>
      </c>
      <c r="B91" s="8">
        <v>3.2000000000000001E-2</v>
      </c>
      <c r="C91" s="3">
        <v>0</v>
      </c>
      <c r="D91" s="12">
        <v>3.2000000000000001E-2</v>
      </c>
      <c r="E91" s="66">
        <v>0.22889000000000001</v>
      </c>
      <c r="F91" s="13">
        <f>1-Table13[[#This Row],[one-year conditional mortality AT ISSUE]]</f>
        <v>0.77110999999999996</v>
      </c>
      <c r="G91" s="13">
        <f>PRODUCT(F$17:F91)</f>
        <v>5.7012401404485089E-2</v>
      </c>
      <c r="H91" s="13">
        <f>Table13[[#This Row],[one-year conditional survival AT ISSUE]]*(1-Table13[[#This Row],[Lapse rate]])</f>
        <v>0.7464344799999999</v>
      </c>
      <c r="I91" s="13">
        <f>PRODUCT(H$17:H91)</f>
        <v>3.3762906899097167E-3</v>
      </c>
      <c r="J91" s="13">
        <f>G90*Table13[[#This Row],[one-year conditional mortality AT ISSUE]]</f>
        <v>1.6923096001183479E-2</v>
      </c>
      <c r="K91" s="10">
        <f>I90*Table13[[#This Row],[one-year conditional mortality AT ISSUE]]</f>
        <v>1.0353208442533833E-3</v>
      </c>
      <c r="L91" s="3">
        <f t="shared" si="1"/>
        <v>2.4615991981893799E-3</v>
      </c>
      <c r="M91" s="44">
        <f>Table13[[#This Row],[Death benefit pay probability]]/Table13[[#This Row],[unconditional persistency AT ISSUE]]</f>
        <v>0.3066444626191438</v>
      </c>
      <c r="N91" s="44">
        <f>Table13[[#This Row],[one-year conditional mortality AT ISSUE]]/Table13[[#This Row],[one-year conditional persistency AT ISSUE]]</f>
        <v>0.3066444626191438</v>
      </c>
      <c r="O91" s="4">
        <f>(1+$B$14)^(Table13[[#This Row],[age since issue]]-$A$17)</f>
        <v>12.752222588545541</v>
      </c>
      <c r="P91" s="5">
        <f>(Table13[[#This Row],[level premium unmarked-up]]*Table13[[#This Row],[unconditional persistency AT ISSUE]]-Table13[[#This Row],[Death benefit pay probability]])</f>
        <v>-1.0270097697982472E-3</v>
      </c>
      <c r="Q91" s="4">
        <f>Table13[[#This Row],[Issuer profit with unmarked-up level premium]]/Table13[[#This Row],[Issuer discounter at issue]]</f>
        <v>-8.0535746821165172E-5</v>
      </c>
      <c r="R91" s="4">
        <f>(Table13[[#This Row],[variable premium unmarked up]]*Table13[[#This Row],[unconditional persistency AT ISSUE]]-Table13[[#This Row],[Death benefit pay probability]])</f>
        <v>0</v>
      </c>
      <c r="S91" s="6">
        <f>Table13[[#This Row],[level premium unmarked-up]]*(1+$B$15)</f>
        <v>2.4615991981893799E-3</v>
      </c>
      <c r="T91" s="6">
        <f>MIN(Table13[[#This Row],[variable premium unmarked up]]*(1+$B$15),1)</f>
        <v>0.3066444626191438</v>
      </c>
      <c r="U91" s="6">
        <f>Table13[[#This Row],[level premium marked up]]-Table13[[#This Row],[variable premium marked up]]</f>
        <v>-0.30418286342095441</v>
      </c>
      <c r="V91" s="6">
        <f>Table13[[#This Row],[additional cash]]+V90*(1+$D$2)</f>
        <v>-3.0228083904120608</v>
      </c>
      <c r="W91" s="12">
        <v>0.20252000000000001</v>
      </c>
      <c r="X91" s="13">
        <f>1-Table13[[#This Row],[one-year conditional mortality NOW]]</f>
        <v>0.79747999999999997</v>
      </c>
      <c r="Y91" s="49">
        <f>PRODUCT(X$17:X91)</f>
        <v>0.26496743519143034</v>
      </c>
      <c r="Z91" s="13">
        <f>Table13[[#This Row],[one-year conditional survival NOW]]*(1-Table13[[#This Row],[Lapse rate]])</f>
        <v>0.77196063999999998</v>
      </c>
      <c r="AA91" s="13">
        <f>PRODUCT(Z$17:Z91)</f>
        <v>0.2042656594225126</v>
      </c>
      <c r="AB91" s="50">
        <f>Y90*Table13[[#This Row],[one-year conditional mortality NOW]]</f>
        <v>6.7288464883092342E-2</v>
      </c>
      <c r="AC91" s="14">
        <v>9.4999999999999998E-3</v>
      </c>
      <c r="AD91" s="28">
        <f>(1+Table13[[#This Row],[Yield curve now]])^(Table13[[#This Row],[age since issue]]-$B$11)</f>
        <v>1.0785755875081871</v>
      </c>
      <c r="AE91" s="46">
        <f t="shared" si="3"/>
        <v>3.7772560804134679E-2</v>
      </c>
      <c r="AF91" s="42">
        <f>1-Table13[[#This Row],[cumulative debt until t]]</f>
        <v>0.96222743919586529</v>
      </c>
      <c r="AG91" s="46">
        <f>Table13[[#This Row],[cumulative debt until t]]*Table13[[#This Row],[Unconditional mortality NOW]]/Table13[[#This Row],[discouter with yield curve]]</f>
        <v>2.3564946774712659E-3</v>
      </c>
      <c r="AH91" s="48">
        <f>Table13[[#This Row],[Unconditional mortality NOW]]/Table13[[#This Row],[discouter with yield curve]]</f>
        <v>6.238641562298626E-2</v>
      </c>
      <c r="AI91" s="29">
        <f>Table13[[#This Row],[user profit (death benefit - debt)]]*Table13[[#This Row],[Unconditional mortality NOW]]/Table13[[#This Row],[discouter with yield curve]]</f>
        <v>6.0029920945514993E-2</v>
      </c>
      <c r="AJ91" s="29">
        <f>(1+$D$4)^(Table13[[#This Row],[age since issue]]-$B$11)</f>
        <v>1.0828567056280802</v>
      </c>
      <c r="AK91" s="57">
        <f>Table13[[#This Row],[level premium marked up]]*Table13[[#This Row],[unconditional survival NOW]]</f>
        <v>6.5224362601352145E-4</v>
      </c>
      <c r="AL91" s="62">
        <f>Table13[[#This Row],[cumulative debt until t]]*Table13[[#This Row],[Unconditional mortality NOW]]</f>
        <v>2.5416576312134865E-3</v>
      </c>
      <c r="AM91" s="47">
        <f>Table13[[#This Row],[probablistic premium stream]]/Table13[[#This Row],[lender discounter]]</f>
        <v>6.0233604559451479E-4</v>
      </c>
      <c r="AN91" s="58">
        <f>Table13[[#This Row],[probablistic repay from borrower]]/Table13[[#This Row],[lender discounter]]</f>
        <v>2.3471781797197908E-3</v>
      </c>
      <c r="AO91" s="47">
        <f>(Table13[[#This Row],[probablistic repay from borrower]]-Table13[[#This Row],[probablistic premium stream]])/Table13[[#This Row],[lender discounter]]</f>
        <v>1.7448421341252759E-3</v>
      </c>
      <c r="AP91" s="46">
        <f>AP90*(1+$D$4)+ Table13[[#This Row],[level premium marked up]]</f>
        <v>2.3061559212197623E-2</v>
      </c>
      <c r="AQ91" s="58">
        <f>AP91*Table13[[#This Row],[Unconditional mortality NOW]]</f>
        <v>1.5517769171993145E-3</v>
      </c>
      <c r="AR91" s="60">
        <f>Table13[[#This Row],[cumulative debt until t]]*Table13[[#This Row],[Unconditional mortality NOW]]</f>
        <v>2.5416576312134865E-3</v>
      </c>
      <c r="AS91" s="58">
        <f>Table13[[#This Row],[lender to pay cumulative probablistic undiscounted]]/Table13[[#This Row],[lender discounter]]</f>
        <v>1.4330399480688911E-3</v>
      </c>
    </row>
    <row r="92" spans="1:45" s="3" customFormat="1">
      <c r="A92" s="3">
        <v>96</v>
      </c>
      <c r="B92" s="8">
        <v>3.2000000000000001E-2</v>
      </c>
      <c r="C92" s="3">
        <v>0</v>
      </c>
      <c r="D92" s="12">
        <v>3.2000000000000001E-2</v>
      </c>
      <c r="E92" s="66">
        <v>0.24481</v>
      </c>
      <c r="F92" s="13">
        <f>1-Table13[[#This Row],[one-year conditional mortality AT ISSUE]]</f>
        <v>0.75519000000000003</v>
      </c>
      <c r="G92" s="13">
        <f>PRODUCT(F$17:F92)</f>
        <v>4.3055195416653098E-2</v>
      </c>
      <c r="H92" s="13">
        <f>Table13[[#This Row],[one-year conditional survival AT ISSUE]]*(1-Table13[[#This Row],[Lapse rate]])</f>
        <v>0.73102392000000005</v>
      </c>
      <c r="I92" s="13">
        <f>PRODUCT(H$17:H92)</f>
        <v>2.4681492551973058E-3</v>
      </c>
      <c r="J92" s="13">
        <f>G91*Table13[[#This Row],[one-year conditional mortality AT ISSUE]]</f>
        <v>1.3957205987831995E-2</v>
      </c>
      <c r="K92" s="10">
        <f>I91*Table13[[#This Row],[one-year conditional mortality AT ISSUE]]</f>
        <v>8.2654972379679777E-4</v>
      </c>
      <c r="L92" s="3">
        <f t="shared" si="1"/>
        <v>2.4615991981893799E-3</v>
      </c>
      <c r="M92" s="44">
        <f>Table13[[#This Row],[Death benefit pay probability]]/Table13[[#This Row],[unconditional persistency AT ISSUE]]</f>
        <v>0.33488644256674938</v>
      </c>
      <c r="N92" s="44">
        <f>Table13[[#This Row],[one-year conditional mortality AT ISSUE]]/Table13[[#This Row],[one-year conditional persistency AT ISSUE]]</f>
        <v>0.33488644256674938</v>
      </c>
      <c r="O92" s="4">
        <f>(1+$B$14)^(Table13[[#This Row],[age since issue]]-$A$17)</f>
        <v>13.198550379144637</v>
      </c>
      <c r="P92" s="5">
        <f>(Table13[[#This Row],[level premium unmarked-up]]*Table13[[#This Row],[unconditional persistency AT ISSUE]]-Table13[[#This Row],[Death benefit pay probability]])</f>
        <v>-8.2047412956919236E-4</v>
      </c>
      <c r="Q92" s="4">
        <f>Table13[[#This Row],[Issuer profit with unmarked-up level premium]]/Table13[[#This Row],[Issuer discounter at issue]]</f>
        <v>-6.2163957859011869E-5</v>
      </c>
      <c r="R92" s="4">
        <f>(Table13[[#This Row],[variable premium unmarked up]]*Table13[[#This Row],[unconditional persistency AT ISSUE]]-Table13[[#This Row],[Death benefit pay probability]])</f>
        <v>0</v>
      </c>
      <c r="S92" s="6">
        <f>Table13[[#This Row],[level premium unmarked-up]]*(1+$B$15)</f>
        <v>2.4615991981893799E-3</v>
      </c>
      <c r="T92" s="6">
        <f>MIN(Table13[[#This Row],[variable premium unmarked up]]*(1+$B$15),1)</f>
        <v>0.33488644256674938</v>
      </c>
      <c r="U92" s="6">
        <f>Table13[[#This Row],[level premium marked up]]-Table13[[#This Row],[variable premium marked up]]</f>
        <v>-0.33242484336855999</v>
      </c>
      <c r="V92" s="6">
        <f>Table13[[#This Row],[additional cash]]+V91*(1+$D$2)</f>
        <v>-3.3582560421710324</v>
      </c>
      <c r="W92" s="12">
        <v>0.21432999999999999</v>
      </c>
      <c r="X92" s="13">
        <f>1-Table13[[#This Row],[one-year conditional mortality NOW]]</f>
        <v>0.78566999999999998</v>
      </c>
      <c r="Y92" s="49">
        <f>PRODUCT(X$17:X92)</f>
        <v>0.20817696480685108</v>
      </c>
      <c r="Z92" s="13">
        <f>Table13[[#This Row],[one-year conditional survival NOW]]*(1-Table13[[#This Row],[Lapse rate]])</f>
        <v>0.76052855999999991</v>
      </c>
      <c r="AA92" s="13">
        <f>PRODUCT(Z$17:Z92)</f>
        <v>0.1553498678180539</v>
      </c>
      <c r="AB92" s="50">
        <f>Y91*Table13[[#This Row],[one-year conditional mortality NOW]]</f>
        <v>5.6790470384579267E-2</v>
      </c>
      <c r="AC92" s="14">
        <v>1.0699999999999999E-2</v>
      </c>
      <c r="AD92" s="28">
        <f>(1+Table13[[#This Row],[Yield curve now]])^(Table13[[#This Row],[age since issue]]-$B$11)</f>
        <v>1.100526213013765</v>
      </c>
      <c r="AE92" s="46">
        <f t="shared" si="3"/>
        <v>4.6018038488877318E-2</v>
      </c>
      <c r="AF92" s="42">
        <f>1-Table13[[#This Row],[cumulative debt until t]]</f>
        <v>0.95398196151112269</v>
      </c>
      <c r="AG92" s="46">
        <f>Table13[[#This Row],[cumulative debt until t]]*Table13[[#This Row],[Unconditional mortality NOW]]/Table13[[#This Row],[discouter with yield curve]]</f>
        <v>2.374669518141072E-3</v>
      </c>
      <c r="AH92" s="48">
        <f>Table13[[#This Row],[Unconditional mortality NOW]]/Table13[[#This Row],[discouter with yield curve]]</f>
        <v>5.1603014733342799E-2</v>
      </c>
      <c r="AI92" s="29">
        <f>Table13[[#This Row],[user profit (death benefit - debt)]]*Table13[[#This Row],[Unconditional mortality NOW]]/Table13[[#This Row],[discouter with yield curve]]</f>
        <v>4.9228345215201724E-2</v>
      </c>
      <c r="AJ92" s="29">
        <f>(1+$D$4)^(Table13[[#This Row],[age since issue]]-$B$11)</f>
        <v>1.0936852726843611</v>
      </c>
      <c r="AK92" s="57">
        <f>Table13[[#This Row],[level premium marked up]]*Table13[[#This Row],[unconditional survival NOW]]</f>
        <v>5.1244824965004335E-4</v>
      </c>
      <c r="AL92" s="62">
        <f>Table13[[#This Row],[cumulative debt until t]]*Table13[[#This Row],[Unconditional mortality NOW]]</f>
        <v>2.6133860519590162E-3</v>
      </c>
      <c r="AM92" s="47">
        <f>Table13[[#This Row],[probablistic premium stream]]/Table13[[#This Row],[lender discounter]]</f>
        <v>4.6855184251707167E-4</v>
      </c>
      <c r="AN92" s="58">
        <f>Table13[[#This Row],[probablistic repay from borrower]]/Table13[[#This Row],[lender discounter]]</f>
        <v>2.3895229434192471E-3</v>
      </c>
      <c r="AO92" s="47">
        <f>(Table13[[#This Row],[probablistic repay from borrower]]-Table13[[#This Row],[probablistic premium stream]])/Table13[[#This Row],[lender discounter]]</f>
        <v>1.9209711009021753E-3</v>
      </c>
      <c r="AP92" s="46">
        <f>AP91*(1+$D$4)+ Table13[[#This Row],[level premium marked up]]</f>
        <v>2.5753774002508979E-2</v>
      </c>
      <c r="AQ92" s="58">
        <f>AP92*Table13[[#This Row],[Unconditional mortality NOW]]</f>
        <v>1.4625689397806335E-3</v>
      </c>
      <c r="AR92" s="60">
        <f>Table13[[#This Row],[cumulative debt until t]]*Table13[[#This Row],[Unconditional mortality NOW]]</f>
        <v>2.6133860519590162E-3</v>
      </c>
      <c r="AS92" s="58">
        <f>Table13[[#This Row],[lender to pay cumulative probablistic undiscounted]]/Table13[[#This Row],[lender discounter]]</f>
        <v>1.3372850273377804E-3</v>
      </c>
    </row>
    <row r="93" spans="1:45" s="3" customFormat="1">
      <c r="A93" s="3">
        <v>97</v>
      </c>
      <c r="B93" s="8">
        <v>3.2000000000000001E-2</v>
      </c>
      <c r="C93" s="3">
        <v>0</v>
      </c>
      <c r="D93" s="12">
        <v>3.2000000000000001E-2</v>
      </c>
      <c r="E93" s="66">
        <v>0.25901000000000002</v>
      </c>
      <c r="F93" s="13">
        <f>1-Table13[[#This Row],[one-year conditional mortality AT ISSUE]]</f>
        <v>0.74099000000000004</v>
      </c>
      <c r="G93" s="13">
        <f>PRODUCT(F$17:F93)</f>
        <v>3.1903469251785783E-2</v>
      </c>
      <c r="H93" s="13">
        <f>Table13[[#This Row],[one-year conditional survival AT ISSUE]]*(1-Table13[[#This Row],[Lapse rate]])</f>
        <v>0.71727832000000002</v>
      </c>
      <c r="I93" s="13">
        <f>PRODUCT(H$17:H93)</f>
        <v>1.7703499512771747E-3</v>
      </c>
      <c r="J93" s="13">
        <f>G92*Table13[[#This Row],[one-year conditional mortality AT ISSUE]]</f>
        <v>1.115172616486732E-2</v>
      </c>
      <c r="K93" s="10">
        <f>I92*Table13[[#This Row],[one-year conditional mortality AT ISSUE]]</f>
        <v>6.3927533858865421E-4</v>
      </c>
      <c r="L93" s="3">
        <f t="shared" si="1"/>
        <v>2.4615991981893799E-3</v>
      </c>
      <c r="M93" s="44">
        <f>Table13[[#This Row],[Death benefit pay probability]]/Table13[[#This Row],[unconditional persistency AT ISSUE]]</f>
        <v>0.36110111344226886</v>
      </c>
      <c r="N93" s="44">
        <f>Table13[[#This Row],[one-year conditional mortality AT ISSUE]]/Table13[[#This Row],[one-year conditional persistency AT ISSUE]]</f>
        <v>0.36110111344226886</v>
      </c>
      <c r="O93" s="4">
        <f>(1+$B$14)^(Table13[[#This Row],[age since issue]]-$A$17)</f>
        <v>13.660499642414697</v>
      </c>
      <c r="P93" s="5">
        <f>(Table13[[#This Row],[level premium unmarked-up]]*Table13[[#This Row],[unconditional persistency AT ISSUE]]-Table13[[#This Row],[Death benefit pay probability]])</f>
        <v>-6.3491744656807574E-4</v>
      </c>
      <c r="Q93" s="4">
        <f>Table13[[#This Row],[Issuer profit with unmarked-up level premium]]/Table13[[#This Row],[Issuer discounter at issue]]</f>
        <v>-4.6478347292416062E-5</v>
      </c>
      <c r="R93" s="4">
        <f>(Table13[[#This Row],[variable premium unmarked up]]*Table13[[#This Row],[unconditional persistency AT ISSUE]]-Table13[[#This Row],[Death benefit pay probability]])</f>
        <v>0</v>
      </c>
      <c r="S93" s="6">
        <f>Table13[[#This Row],[level premium unmarked-up]]*(1+$B$15)</f>
        <v>2.4615991981893799E-3</v>
      </c>
      <c r="T93" s="6">
        <f>MIN(Table13[[#This Row],[variable premium unmarked up]]*(1+$B$15),1)</f>
        <v>0.36110111344226886</v>
      </c>
      <c r="U93" s="6">
        <f>Table13[[#This Row],[level premium marked up]]-Table13[[#This Row],[variable premium marked up]]</f>
        <v>-0.35863951424407947</v>
      </c>
      <c r="V93" s="6">
        <f>Table13[[#This Row],[additional cash]]+V92*(1+$D$2)</f>
        <v>-3.7202538124572824</v>
      </c>
      <c r="W93" s="12">
        <v>0.23011000000000001</v>
      </c>
      <c r="X93" s="13">
        <f>1-Table13[[#This Row],[one-year conditional mortality NOW]]</f>
        <v>0.76988999999999996</v>
      </c>
      <c r="Y93" s="49">
        <f>PRODUCT(X$17:X93)</f>
        <v>0.16027336343514656</v>
      </c>
      <c r="Z93" s="13">
        <f>Table13[[#This Row],[one-year conditional survival NOW]]*(1-Table13[[#This Row],[Lapse rate]])</f>
        <v>0.74525351999999989</v>
      </c>
      <c r="AA93" s="13">
        <f>PRODUCT(Z$17:Z93)</f>
        <v>0.11577503582293938</v>
      </c>
      <c r="AB93" s="50">
        <f>Y92*Table13[[#This Row],[one-year conditional mortality NOW]]</f>
        <v>4.7903601371704504E-2</v>
      </c>
      <c r="AC93" s="14">
        <v>1.18999999999999E-2</v>
      </c>
      <c r="AD93" s="28">
        <f>(1+Table13[[#This Row],[Yield curve now]])^(Table13[[#This Row],[age since issue]]-$B$11)</f>
        <v>1.1255789410288743</v>
      </c>
      <c r="AE93" s="46">
        <f t="shared" si="3"/>
        <v>5.5448848264295719E-2</v>
      </c>
      <c r="AF93" s="42">
        <f>1-Table13[[#This Row],[cumulative debt until t]]</f>
        <v>0.94455115173570425</v>
      </c>
      <c r="AG93" s="46">
        <f>Table13[[#This Row],[cumulative debt until t]]*Table13[[#This Row],[Unconditional mortality NOW]]/Table13[[#This Row],[discouter with yield curve]]</f>
        <v>2.3598518299791219E-3</v>
      </c>
      <c r="AH93" s="48">
        <f>Table13[[#This Row],[Unconditional mortality NOW]]/Table13[[#This Row],[discouter with yield curve]]</f>
        <v>4.2559077489417632E-2</v>
      </c>
      <c r="AI93" s="29">
        <f>Table13[[#This Row],[user profit (death benefit - debt)]]*Table13[[#This Row],[Unconditional mortality NOW]]/Table13[[#This Row],[discouter with yield curve]]</f>
        <v>4.0199225659438509E-2</v>
      </c>
      <c r="AJ93" s="29">
        <f>(1+$D$4)^(Table13[[#This Row],[age since issue]]-$B$11)</f>
        <v>1.1046221254112047</v>
      </c>
      <c r="AK93" s="57">
        <f>Table13[[#This Row],[level premium marked up]]*Table13[[#This Row],[unconditional survival NOW]]</f>
        <v>3.9452878292307186E-4</v>
      </c>
      <c r="AL93" s="62">
        <f>Table13[[#This Row],[cumulative debt until t]]*Table13[[#This Row],[Unconditional mortality NOW]]</f>
        <v>2.6561995237729514E-3</v>
      </c>
      <c r="AM93" s="47">
        <f>Table13[[#This Row],[probablistic premium stream]]/Table13[[#This Row],[lender discounter]]</f>
        <v>3.5716176043115673E-4</v>
      </c>
      <c r="AN93" s="58">
        <f>Table13[[#This Row],[probablistic repay from borrower]]/Table13[[#This Row],[lender discounter]]</f>
        <v>2.404622777933367E-3</v>
      </c>
      <c r="AO93" s="47">
        <f>(Table13[[#This Row],[probablistic repay from borrower]]-Table13[[#This Row],[probablistic premium stream]])/Table13[[#This Row],[lender discounter]]</f>
        <v>2.0474610175022106E-3</v>
      </c>
      <c r="AP93" s="46">
        <f>AP92*(1+$D$4)+ Table13[[#This Row],[level premium marked up]]</f>
        <v>2.8472910940723448E-2</v>
      </c>
      <c r="AQ93" s="58">
        <f>AP93*Table13[[#This Row],[Unconditional mortality NOW]]</f>
        <v>1.3639549755964599E-3</v>
      </c>
      <c r="AR93" s="60">
        <f>Table13[[#This Row],[cumulative debt until t]]*Table13[[#This Row],[Unconditional mortality NOW]]</f>
        <v>2.6561995237729514E-3</v>
      </c>
      <c r="AS93" s="58">
        <f>Table13[[#This Row],[lender to pay cumulative probablistic undiscounted]]/Table13[[#This Row],[lender discounter]]</f>
        <v>1.2347706461960611E-3</v>
      </c>
    </row>
    <row r="94" spans="1:45" s="3" customFormat="1">
      <c r="A94" s="3">
        <v>98</v>
      </c>
      <c r="B94" s="8">
        <v>3.2000000000000001E-2</v>
      </c>
      <c r="C94" s="3">
        <v>0</v>
      </c>
      <c r="D94" s="12">
        <v>3.2000000000000001E-2</v>
      </c>
      <c r="E94" s="66">
        <v>0.27403</v>
      </c>
      <c r="F94" s="13">
        <f>1-Table13[[#This Row],[one-year conditional mortality AT ISSUE]]</f>
        <v>0.72597</v>
      </c>
      <c r="G94" s="13">
        <f>PRODUCT(F$17:F94)</f>
        <v>2.3160961572718925E-2</v>
      </c>
      <c r="H94" s="13">
        <f>Table13[[#This Row],[one-year conditional survival AT ISSUE]]*(1-Table13[[#This Row],[Lapse rate]])</f>
        <v>0.70273896000000002</v>
      </c>
      <c r="I94" s="13">
        <f>PRODUCT(H$17:H94)</f>
        <v>1.2440938835965724E-3</v>
      </c>
      <c r="J94" s="13">
        <f>G93*Table13[[#This Row],[one-year conditional mortality AT ISSUE]]</f>
        <v>8.7425076790668584E-3</v>
      </c>
      <c r="K94" s="10">
        <f>I93*Table13[[#This Row],[one-year conditional mortality AT ISSUE]]</f>
        <v>4.8512899714848415E-4</v>
      </c>
      <c r="L94" s="3">
        <f t="shared" si="1"/>
        <v>2.4615991981893799E-3</v>
      </c>
      <c r="M94" s="44">
        <f>Table13[[#This Row],[Death benefit pay probability]]/Table13[[#This Row],[unconditional persistency AT ISSUE]]</f>
        <v>0.38994564923510144</v>
      </c>
      <c r="N94" s="44">
        <f>Table13[[#This Row],[one-year conditional mortality AT ISSUE]]/Table13[[#This Row],[one-year conditional persistency AT ISSUE]]</f>
        <v>0.38994564923510144</v>
      </c>
      <c r="O94" s="4">
        <f>(1+$B$14)^(Table13[[#This Row],[age since issue]]-$A$17)</f>
        <v>14.13861712989921</v>
      </c>
      <c r="P94" s="5">
        <f>(Table13[[#This Row],[level premium unmarked-up]]*Table13[[#This Row],[unconditional persistency AT ISSUE]]-Table13[[#This Row],[Death benefit pay probability]])</f>
        <v>-4.8206653664215049E-4</v>
      </c>
      <c r="Q94" s="4">
        <f>Table13[[#This Row],[Issuer profit with unmarked-up level premium]]/Table13[[#This Row],[Issuer discounter at issue]]</f>
        <v>-3.4095734555447784E-5</v>
      </c>
      <c r="R94" s="4">
        <f>(Table13[[#This Row],[variable premium unmarked up]]*Table13[[#This Row],[unconditional persistency AT ISSUE]]-Table13[[#This Row],[Death benefit pay probability]])</f>
        <v>0</v>
      </c>
      <c r="S94" s="6">
        <f>Table13[[#This Row],[level premium unmarked-up]]*(1+$B$15)</f>
        <v>2.4615991981893799E-3</v>
      </c>
      <c r="T94" s="6">
        <f>MIN(Table13[[#This Row],[variable premium unmarked up]]*(1+$B$15),1)</f>
        <v>0.38994564923510144</v>
      </c>
      <c r="U94" s="6">
        <f>Table13[[#This Row],[level premium marked up]]-Table13[[#This Row],[variable premium marked up]]</f>
        <v>-0.38748405003691205</v>
      </c>
      <c r="V94" s="6">
        <f>Table13[[#This Row],[additional cash]]+V93*(1+$D$2)</f>
        <v>-4.1114581163066513</v>
      </c>
      <c r="W94" s="12">
        <v>0.24709</v>
      </c>
      <c r="X94" s="13">
        <f>1-Table13[[#This Row],[one-year conditional mortality NOW]]</f>
        <v>0.75290999999999997</v>
      </c>
      <c r="Y94" s="49">
        <f>PRODUCT(X$17:X94)</f>
        <v>0.12067141806395619</v>
      </c>
      <c r="Z94" s="13">
        <f>Table13[[#This Row],[one-year conditional survival NOW]]*(1-Table13[[#This Row],[Lapse rate]])</f>
        <v>0.72881688</v>
      </c>
      <c r="AA94" s="13">
        <f>PRODUCT(Z$17:Z94)</f>
        <v>8.4378800390362912E-2</v>
      </c>
      <c r="AB94" s="50">
        <f>Y93*Table13[[#This Row],[one-year conditional mortality NOW]]</f>
        <v>3.9601945371190363E-2</v>
      </c>
      <c r="AC94" s="14">
        <v>1.24999999999999E-2</v>
      </c>
      <c r="AD94" s="28">
        <f>(1+Table13[[#This Row],[Yield curve now]])^(Table13[[#This Row],[age since issue]]-$B$11)</f>
        <v>1.1464242150350601</v>
      </c>
      <c r="AE94" s="46">
        <f t="shared" si="3"/>
        <v>6.6235388040481319E-2</v>
      </c>
      <c r="AF94" s="42">
        <f>1-Table13[[#This Row],[cumulative debt until t]]</f>
        <v>0.93376461195951865</v>
      </c>
      <c r="AG94" s="46">
        <f>Table13[[#This Row],[cumulative debt until t]]*Table13[[#This Row],[Unconditional mortality NOW]]/Table13[[#This Row],[discouter with yield curve]]</f>
        <v>2.288027576893531E-3</v>
      </c>
      <c r="AH94" s="48">
        <f>Table13[[#This Row],[Unconditional mortality NOW]]/Table13[[#This Row],[discouter with yield curve]]</f>
        <v>3.4543884237458515E-2</v>
      </c>
      <c r="AI94" s="29">
        <f>Table13[[#This Row],[user profit (death benefit - debt)]]*Table13[[#This Row],[Unconditional mortality NOW]]/Table13[[#This Row],[discouter with yield curve]]</f>
        <v>3.2255856660564984E-2</v>
      </c>
      <c r="AJ94" s="29">
        <f>(1+$D$4)^(Table13[[#This Row],[age since issue]]-$B$11)</f>
        <v>1.1156683466653166</v>
      </c>
      <c r="AK94" s="57">
        <f>Table13[[#This Row],[level premium marked up]]*Table13[[#This Row],[unconditional survival NOW]]</f>
        <v>2.9704466595061003E-4</v>
      </c>
      <c r="AL94" s="62">
        <f>Table13[[#This Row],[cumulative debt until t]]*Table13[[#This Row],[Unconditional mortality NOW]]</f>
        <v>2.6230502188187366E-3</v>
      </c>
      <c r="AM94" s="47">
        <f>Table13[[#This Row],[probablistic premium stream]]/Table13[[#This Row],[lender discounter]]</f>
        <v>2.6624817925368542E-4</v>
      </c>
      <c r="AN94" s="58">
        <f>Table13[[#This Row],[probablistic repay from borrower]]/Table13[[#This Row],[lender discounter]]</f>
        <v>2.3511021233675023E-3</v>
      </c>
      <c r="AO94" s="47">
        <f>(Table13[[#This Row],[probablistic repay from borrower]]-Table13[[#This Row],[probablistic premium stream]])/Table13[[#This Row],[lender discounter]]</f>
        <v>2.0848539441138173E-3</v>
      </c>
      <c r="AP94" s="46">
        <f>AP93*(1+$D$4)+ Table13[[#This Row],[level premium marked up]]</f>
        <v>3.1219239248320062E-2</v>
      </c>
      <c r="AQ94" s="58">
        <f>AP94*Table13[[#This Row],[Unconditional mortality NOW]]</f>
        <v>1.2363426072420931E-3</v>
      </c>
      <c r="AR94" s="60">
        <f>Table13[[#This Row],[cumulative debt until t]]*Table13[[#This Row],[Unconditional mortality NOW]]</f>
        <v>2.6230502188187366E-3</v>
      </c>
      <c r="AS94" s="58">
        <f>Table13[[#This Row],[lender to pay cumulative probablistic undiscounted]]/Table13[[#This Row],[lender discounter]]</f>
        <v>1.1081632018488886E-3</v>
      </c>
    </row>
    <row r="95" spans="1:45" s="3" customFormat="1">
      <c r="A95" s="3">
        <v>99</v>
      </c>
      <c r="B95" s="8">
        <v>3.2000000000000001E-2</v>
      </c>
      <c r="C95" s="3">
        <v>0</v>
      </c>
      <c r="D95" s="12">
        <v>3.2000000000000001E-2</v>
      </c>
      <c r="E95" s="66">
        <v>0.28992000000000001</v>
      </c>
      <c r="F95" s="13">
        <f>1-Table13[[#This Row],[one-year conditional mortality AT ISSUE]]</f>
        <v>0.71008000000000004</v>
      </c>
      <c r="G95" s="13">
        <f>PRODUCT(F$17:F95)</f>
        <v>1.6446135593556257E-2</v>
      </c>
      <c r="H95" s="13">
        <f>Table13[[#This Row],[one-year conditional survival AT ISSUE]]*(1-Table13[[#This Row],[Lapse rate]])</f>
        <v>0.68735743999999999</v>
      </c>
      <c r="I95" s="13">
        <f>PRODUCT(H$17:H95)</f>
        <v>8.5513718694859794E-4</v>
      </c>
      <c r="J95" s="13">
        <f>G94*Table13[[#This Row],[one-year conditional mortality AT ISSUE]]</f>
        <v>6.7148259791626709E-3</v>
      </c>
      <c r="K95" s="10">
        <f>I94*Table13[[#This Row],[one-year conditional mortality AT ISSUE]]</f>
        <v>3.6068769873231826E-4</v>
      </c>
      <c r="L95" s="3">
        <f t="shared" si="1"/>
        <v>2.4615991981893799E-3</v>
      </c>
      <c r="M95" s="44">
        <f>Table13[[#This Row],[Death benefit pay probability]]/Table13[[#This Row],[unconditional persistency AT ISSUE]]</f>
        <v>0.42178928040700342</v>
      </c>
      <c r="N95" s="44">
        <f>Table13[[#This Row],[one-year conditional mortality AT ISSUE]]/Table13[[#This Row],[one-year conditional persistency AT ISSUE]]</f>
        <v>0.42178928040700342</v>
      </c>
      <c r="O95" s="4">
        <f>(1+$B$14)^(Table13[[#This Row],[age since issue]]-$A$17)</f>
        <v>14.633468729445683</v>
      </c>
      <c r="P95" s="5">
        <f>(Table13[[#This Row],[level premium unmarked-up]]*Table13[[#This Row],[unconditional persistency AT ISSUE]]-Table13[[#This Row],[Death benefit pay probability]])</f>
        <v>-3.5858269371858369E-4</v>
      </c>
      <c r="Q95" s="4">
        <f>Table13[[#This Row],[Issuer profit with unmarked-up level premium]]/Table13[[#This Row],[Issuer discounter at issue]]</f>
        <v>-2.4504285371317208E-5</v>
      </c>
      <c r="R95" s="4">
        <f>(Table13[[#This Row],[variable premium unmarked up]]*Table13[[#This Row],[unconditional persistency AT ISSUE]]-Table13[[#This Row],[Death benefit pay probability]])</f>
        <v>0</v>
      </c>
      <c r="S95" s="6">
        <f>Table13[[#This Row],[level premium unmarked-up]]*(1+$B$15)</f>
        <v>2.4615991981893799E-3</v>
      </c>
      <c r="T95" s="6">
        <f>MIN(Table13[[#This Row],[variable premium unmarked up]]*(1+$B$15),1)</f>
        <v>0.42178928040700342</v>
      </c>
      <c r="U95" s="6">
        <f>Table13[[#This Row],[level premium marked up]]-Table13[[#This Row],[variable premium marked up]]</f>
        <v>-0.41932768120881403</v>
      </c>
      <c r="V95" s="6">
        <f>Table13[[#This Row],[additional cash]]+V94*(1+$D$2)</f>
        <v>-4.5348972556317708</v>
      </c>
      <c r="W95" s="12">
        <v>0.26576</v>
      </c>
      <c r="X95" s="13">
        <f>1-Table13[[#This Row],[one-year conditional mortality NOW]]</f>
        <v>0.73424</v>
      </c>
      <c r="Y95" s="49">
        <f>PRODUCT(X$17:X95)</f>
        <v>8.8601781999279192E-2</v>
      </c>
      <c r="Z95" s="13">
        <f>Table13[[#This Row],[one-year conditional survival NOW]]*(1-Table13[[#This Row],[Lapse rate]])</f>
        <v>0.71074431999999998</v>
      </c>
      <c r="AA95" s="13">
        <f>PRODUCT(Z$17:Z95)</f>
        <v>5.9971753105864223E-2</v>
      </c>
      <c r="AB95" s="50">
        <f>Y94*Table13[[#This Row],[one-year conditional mortality NOW]]</f>
        <v>3.2069636064676998E-2</v>
      </c>
      <c r="AC95" s="14">
        <v>1.30999999999999E-2</v>
      </c>
      <c r="AD95" s="28">
        <f>(1+Table13[[#This Row],[Yield curve now]])^(Table13[[#This Row],[age since issue]]-$B$11)</f>
        <v>1.1690357280383288</v>
      </c>
      <c r="AE95" s="46">
        <f t="shared" si="3"/>
        <v>7.8572551350306677E-2</v>
      </c>
      <c r="AF95" s="42">
        <f>1-Table13[[#This Row],[cumulative debt until t]]</f>
        <v>0.92142744864969328</v>
      </c>
      <c r="AG95" s="46">
        <f>Table13[[#This Row],[cumulative debt until t]]*Table13[[#This Row],[Unconditional mortality NOW]]/Table13[[#This Row],[discouter with yield curve]]</f>
        <v>2.1554457798357938E-3</v>
      </c>
      <c r="AH95" s="48">
        <f>Table13[[#This Row],[Unconditional mortality NOW]]/Table13[[#This Row],[discouter with yield curve]]</f>
        <v>2.7432554280005326E-2</v>
      </c>
      <c r="AI95" s="29">
        <f>Table13[[#This Row],[user profit (death benefit - debt)]]*Table13[[#This Row],[Unconditional mortality NOW]]/Table13[[#This Row],[discouter with yield curve]]</f>
        <v>2.5277108500169534E-2</v>
      </c>
      <c r="AJ95" s="29">
        <f>(1+$D$4)^(Table13[[#This Row],[age since issue]]-$B$11)</f>
        <v>1.1268250301319698</v>
      </c>
      <c r="AK95" s="57">
        <f>Table13[[#This Row],[level premium marked up]]*Table13[[#This Row],[unconditional survival NOW]]</f>
        <v>2.1810207552757589E-4</v>
      </c>
      <c r="AL95" s="62">
        <f>Table13[[#This Row],[cumulative debt until t]]*Table13[[#This Row],[Unconditional mortality NOW]]</f>
        <v>2.5197931264774806E-3</v>
      </c>
      <c r="AM95" s="47">
        <f>Table13[[#This Row],[probablistic premium stream]]/Table13[[#This Row],[lender discounter]]</f>
        <v>1.9355451795566924E-4</v>
      </c>
      <c r="AN95" s="58">
        <f>Table13[[#This Row],[probablistic repay from borrower]]/Table13[[#This Row],[lender discounter]]</f>
        <v>2.2361884579208996E-3</v>
      </c>
      <c r="AO95" s="47">
        <f>(Table13[[#This Row],[probablistic repay from borrower]]-Table13[[#This Row],[probablistic premium stream]])/Table13[[#This Row],[lender discounter]]</f>
        <v>2.0426339399652301E-3</v>
      </c>
      <c r="AP95" s="46">
        <f>AP94*(1+$D$4)+ Table13[[#This Row],[level premium marked up]]</f>
        <v>3.3993030838992647E-2</v>
      </c>
      <c r="AQ95" s="58">
        <f>AP95*Table13[[#This Row],[Unconditional mortality NOW]]</f>
        <v>1.0901441277418359E-3</v>
      </c>
      <c r="AR95" s="60">
        <f>Table13[[#This Row],[cumulative debt until t]]*Table13[[#This Row],[Unconditional mortality NOW]]</f>
        <v>2.5197931264774806E-3</v>
      </c>
      <c r="AS95" s="58">
        <f>Table13[[#This Row],[lender to pay cumulative probablistic undiscounted]]/Table13[[#This Row],[lender discounter]]</f>
        <v>9.6744756159184895E-4</v>
      </c>
    </row>
    <row r="96" spans="1:45" s="3" customFormat="1">
      <c r="A96" s="3">
        <v>100</v>
      </c>
      <c r="B96" s="8">
        <v>3.2000000000000001E-2</v>
      </c>
      <c r="C96" s="3">
        <v>0</v>
      </c>
      <c r="D96" s="12">
        <v>3.2000000000000001E-2</v>
      </c>
      <c r="E96" s="66">
        <v>0.30674000000000001</v>
      </c>
      <c r="F96" s="13">
        <f>1-Table13[[#This Row],[one-year conditional mortality AT ISSUE]]</f>
        <v>0.69325999999999999</v>
      </c>
      <c r="G96" s="13">
        <f>PRODUCT(F$17:F96)</f>
        <v>1.1401447961588811E-2</v>
      </c>
      <c r="H96" s="13">
        <f>Table13[[#This Row],[one-year conditional survival AT ISSUE]]*(1-Table13[[#This Row],[Lapse rate]])</f>
        <v>0.67107567999999995</v>
      </c>
      <c r="I96" s="13">
        <f>PRODUCT(H$17:H96)</f>
        <v>5.7386176922481747E-4</v>
      </c>
      <c r="J96" s="13">
        <f>G95*Table13[[#This Row],[one-year conditional mortality AT ISSUE]]</f>
        <v>5.0446876319674462E-3</v>
      </c>
      <c r="K96" s="10">
        <f>I95*Table13[[#This Row],[one-year conditional mortality AT ISSUE]]</f>
        <v>2.6230478072461293E-4</v>
      </c>
      <c r="L96" s="3">
        <f t="shared" si="1"/>
        <v>2.4615991981893799E-3</v>
      </c>
      <c r="M96" s="44">
        <f>Table13[[#This Row],[Death benefit pay probability]]/Table13[[#This Row],[unconditional persistency AT ISSUE]]</f>
        <v>0.45708704568164354</v>
      </c>
      <c r="N96" s="44">
        <f>Table13[[#This Row],[one-year conditional mortality AT ISSUE]]/Table13[[#This Row],[one-year conditional persistency AT ISSUE]]</f>
        <v>0.4570870456816436</v>
      </c>
      <c r="O96" s="4">
        <f>(1+$B$14)^(Table13[[#This Row],[age since issue]]-$A$17)</f>
        <v>15.145640134976279</v>
      </c>
      <c r="P96" s="5">
        <f>(Table13[[#This Row],[level premium unmarked-up]]*Table13[[#This Row],[unconditional persistency AT ISSUE]]-Table13[[#This Row],[Death benefit pay probability]])</f>
        <v>-2.6089216305361757E-4</v>
      </c>
      <c r="Q96" s="4">
        <f>Table13[[#This Row],[Issuer profit with unmarked-up level premium]]/Table13[[#This Row],[Issuer discounter at issue]]</f>
        <v>-1.7225561992003991E-5</v>
      </c>
      <c r="R96" s="4">
        <f>(Table13[[#This Row],[variable premium unmarked up]]*Table13[[#This Row],[unconditional persistency AT ISSUE]]-Table13[[#This Row],[Death benefit pay probability]])</f>
        <v>0</v>
      </c>
      <c r="S96" s="6">
        <f>Table13[[#This Row],[level premium unmarked-up]]*(1+$B$15)</f>
        <v>2.4615991981893799E-3</v>
      </c>
      <c r="T96" s="6">
        <f>MIN(Table13[[#This Row],[variable premium unmarked up]]*(1+$B$15),1)</f>
        <v>0.45708704568164354</v>
      </c>
      <c r="U96" s="6">
        <f>Table13[[#This Row],[level premium marked up]]-Table13[[#This Row],[variable premium marked up]]</f>
        <v>-0.45462544648345415</v>
      </c>
      <c r="V96" s="6">
        <f>Table13[[#This Row],[additional cash]]+V95*(1+$D$2)</f>
        <v>-4.9940575993708558</v>
      </c>
      <c r="W96" s="12">
        <v>0.28575</v>
      </c>
      <c r="X96" s="13">
        <f>1-Table13[[#This Row],[one-year conditional mortality NOW]]</f>
        <v>0.71425000000000005</v>
      </c>
      <c r="Y96" s="49">
        <f>PRODUCT(X$17:X96)</f>
        <v>6.3283822792985167E-2</v>
      </c>
      <c r="Z96" s="13">
        <f>Table13[[#This Row],[one-year conditional survival NOW]]*(1-Table13[[#This Row],[Lapse rate]])</f>
        <v>0.69139400000000006</v>
      </c>
      <c r="AA96" s="13">
        <f>PRODUCT(Z$17:Z96)</f>
        <v>4.1464110266875895E-2</v>
      </c>
      <c r="AB96" s="50">
        <f>Y95*Table13[[#This Row],[one-year conditional mortality NOW]]</f>
        <v>2.5317959206294028E-2</v>
      </c>
      <c r="AC96" s="14">
        <v>1.36999999999999E-2</v>
      </c>
      <c r="AD96" s="28">
        <f>(1+Table13[[#This Row],[Yield curve now]])^(Table13[[#This Row],[age since issue]]-$B$11)</f>
        <v>1.1935010472776966</v>
      </c>
      <c r="AE96" s="46">
        <f t="shared" si="3"/>
        <v>9.2683248727916001E-2</v>
      </c>
      <c r="AF96" s="42">
        <f>1-Table13[[#This Row],[cumulative debt until t]]</f>
        <v>0.907316751272084</v>
      </c>
      <c r="AG96" s="46">
        <f>Table13[[#This Row],[cumulative debt until t]]*Table13[[#This Row],[Unconditional mortality NOW]]/Table13[[#This Row],[discouter with yield curve]]</f>
        <v>1.9661069554589164E-3</v>
      </c>
      <c r="AH96" s="48">
        <f>Table13[[#This Row],[Unconditional mortality NOW]]/Table13[[#This Row],[discouter with yield curve]]</f>
        <v>2.1213185580392039E-2</v>
      </c>
      <c r="AI96" s="29">
        <f>Table13[[#This Row],[user profit (death benefit - debt)]]*Table13[[#This Row],[Unconditional mortality NOW]]/Table13[[#This Row],[discouter with yield curve]]</f>
        <v>1.9247078624933123E-2</v>
      </c>
      <c r="AJ96" s="29">
        <f>(1+$D$4)^(Table13[[#This Row],[age since issue]]-$B$11)</f>
        <v>1.1380932804332895</v>
      </c>
      <c r="AK96" s="57">
        <f>Table13[[#This Row],[level premium marked up]]*Table13[[#This Row],[unconditional survival NOW]]</f>
        <v>1.5577940744557108E-4</v>
      </c>
      <c r="AL96" s="62">
        <f>Table13[[#This Row],[cumulative debt until t]]*Table13[[#This Row],[Unconditional mortality NOW]]</f>
        <v>2.3465507104001803E-3</v>
      </c>
      <c r="AM96" s="47">
        <f>Table13[[#This Row],[probablistic premium stream]]/Table13[[#This Row],[lender discounter]]</f>
        <v>1.3687753905924433E-4</v>
      </c>
      <c r="AN96" s="58">
        <f>Table13[[#This Row],[probablistic repay from borrower]]/Table13[[#This Row],[lender discounter]]</f>
        <v>2.0618263465247881E-3</v>
      </c>
      <c r="AO96" s="47">
        <f>(Table13[[#This Row],[probablistic repay from borrower]]-Table13[[#This Row],[probablistic premium stream]])/Table13[[#This Row],[lender discounter]]</f>
        <v>1.9249488074655435E-3</v>
      </c>
      <c r="AP96" s="46">
        <f>AP95*(1+$D$4)+ Table13[[#This Row],[level premium marked up]]</f>
        <v>3.679456034557195E-2</v>
      </c>
      <c r="AQ96" s="58">
        <f>AP96*Table13[[#This Row],[Unconditional mortality NOW]]</f>
        <v>9.3156317784271457E-4</v>
      </c>
      <c r="AR96" s="60">
        <f>Table13[[#This Row],[cumulative debt until t]]*Table13[[#This Row],[Unconditional mortality NOW]]</f>
        <v>2.3465507104001803E-3</v>
      </c>
      <c r="AS96" s="58">
        <f>Table13[[#This Row],[lender to pay cumulative probablistic undiscounted]]/Table13[[#This Row],[lender discounter]]</f>
        <v>8.1852972322976397E-4</v>
      </c>
    </row>
    <row r="97" spans="1:45" s="3" customFormat="1">
      <c r="A97" s="3">
        <v>101</v>
      </c>
      <c r="B97" s="8">
        <v>3.2000000000000001E-2</v>
      </c>
      <c r="C97" s="3">
        <v>0</v>
      </c>
      <c r="D97" s="12">
        <v>3.2000000000000001E-2</v>
      </c>
      <c r="E97" s="66">
        <v>0.32452999999999999</v>
      </c>
      <c r="F97" s="13">
        <f>1-Table13[[#This Row],[one-year conditional mortality AT ISSUE]]</f>
        <v>0.67547000000000001</v>
      </c>
      <c r="G97" s="13">
        <f>PRODUCT(F$17:F97)</f>
        <v>7.7013360546143942E-3</v>
      </c>
      <c r="H97" s="13">
        <f>Table13[[#This Row],[one-year conditional survival AT ISSUE]]*(1-Table13[[#This Row],[Lapse rate]])</f>
        <v>0.65385495999999999</v>
      </c>
      <c r="I97" s="13">
        <f>PRODUCT(H$17:H97)</f>
        <v>3.7522236416202224E-4</v>
      </c>
      <c r="J97" s="13">
        <f>G96*Table13[[#This Row],[one-year conditional mortality AT ISSUE]]</f>
        <v>3.7001119069744164E-3</v>
      </c>
      <c r="K97" s="10">
        <f>I96*Table13[[#This Row],[one-year conditional mortality AT ISSUE]]</f>
        <v>1.8623535996653001E-4</v>
      </c>
      <c r="L97" s="3">
        <f t="shared" si="1"/>
        <v>2.4615991981893799E-3</v>
      </c>
      <c r="M97" s="44">
        <f>Table13[[#This Row],[Death benefit pay probability]]/Table13[[#This Row],[unconditional persistency AT ISSUE]]</f>
        <v>0.49633331526612567</v>
      </c>
      <c r="N97" s="44">
        <f>Table13[[#This Row],[one-year conditional mortality AT ISSUE]]/Table13[[#This Row],[one-year conditional persistency AT ISSUE]]</f>
        <v>0.49633331526612567</v>
      </c>
      <c r="O97" s="4">
        <f>(1+$B$14)^(Table13[[#This Row],[age since issue]]-$A$17)</f>
        <v>15.675737539700446</v>
      </c>
      <c r="P97" s="5">
        <f>(Table13[[#This Row],[level premium unmarked-up]]*Table13[[#This Row],[unconditional persistency AT ISSUE]]-Table13[[#This Row],[Death benefit pay probability]])</f>
        <v>-1.8531171289576606E-4</v>
      </c>
      <c r="Q97" s="4">
        <f>Table13[[#This Row],[Issuer profit with unmarked-up level premium]]/Table13[[#This Row],[Issuer discounter at issue]]</f>
        <v>-1.1821562617162015E-5</v>
      </c>
      <c r="R97" s="4">
        <f>(Table13[[#This Row],[variable premium unmarked up]]*Table13[[#This Row],[unconditional persistency AT ISSUE]]-Table13[[#This Row],[Death benefit pay probability]])</f>
        <v>0</v>
      </c>
      <c r="S97" s="6">
        <f>Table13[[#This Row],[level premium unmarked-up]]*(1+$B$15)</f>
        <v>2.4615991981893799E-3</v>
      </c>
      <c r="T97" s="6">
        <f>MIN(Table13[[#This Row],[variable premium unmarked up]]*(1+$B$15),1)</f>
        <v>0.49633331526612567</v>
      </c>
      <c r="U97" s="6">
        <f>Table13[[#This Row],[level premium marked up]]-Table13[[#This Row],[variable premium marked up]]</f>
        <v>-0.49387171606793628</v>
      </c>
      <c r="V97" s="6">
        <f>Table13[[#This Row],[additional cash]]+V96*(1+$D$2)</f>
        <v>-5.4929233730381624</v>
      </c>
      <c r="W97" s="12">
        <v>0.30669999999999997</v>
      </c>
      <c r="X97" s="13">
        <f>1-Table13[[#This Row],[one-year conditional mortality NOW]]</f>
        <v>0.69330000000000003</v>
      </c>
      <c r="Y97" s="49">
        <f>PRODUCT(X$17:X97)</f>
        <v>4.3874674342376616E-2</v>
      </c>
      <c r="Z97" s="13">
        <f>Table13[[#This Row],[one-year conditional survival NOW]]*(1-Table13[[#This Row],[Lapse rate]])</f>
        <v>0.6711144</v>
      </c>
      <c r="AA97" s="13">
        <f>PRODUCT(Z$17:Z97)</f>
        <v>2.7827161483288256E-2</v>
      </c>
      <c r="AB97" s="50">
        <f>Y96*Table13[[#This Row],[one-year conditional mortality NOW]]</f>
        <v>1.9409148450608548E-2</v>
      </c>
      <c r="AC97" s="14">
        <v>1.43E-2</v>
      </c>
      <c r="AD97" s="28">
        <f>(1+Table13[[#This Row],[Yield curve now]])^(Table13[[#This Row],[age since issue]]-$B$11)</f>
        <v>1.2199160825659567</v>
      </c>
      <c r="AE97" s="46">
        <f t="shared" si="3"/>
        <v>0.1088224353044524</v>
      </c>
      <c r="AF97" s="42">
        <f>1-Table13[[#This Row],[cumulative debt until t]]</f>
        <v>0.89117756469554754</v>
      </c>
      <c r="AG97" s="46">
        <f>Table13[[#This Row],[cumulative debt until t]]*Table13[[#This Row],[Unconditional mortality NOW]]/Table13[[#This Row],[discouter with yield curve]]</f>
        <v>1.7313902421371384E-3</v>
      </c>
      <c r="AH97" s="48">
        <f>Table13[[#This Row],[Unconditional mortality NOW]]/Table13[[#This Row],[discouter with yield curve]]</f>
        <v>1.591023245614041E-2</v>
      </c>
      <c r="AI97" s="29">
        <f>Table13[[#This Row],[user profit (death benefit - debt)]]*Table13[[#This Row],[Unconditional mortality NOW]]/Table13[[#This Row],[discouter with yield curve]]</f>
        <v>1.417884221400327E-2</v>
      </c>
      <c r="AJ97" s="29">
        <f>(1+$D$4)^(Table13[[#This Row],[age since issue]]-$B$11)</f>
        <v>1.1494742132376226</v>
      </c>
      <c r="AK97" s="57">
        <f>Table13[[#This Row],[level premium marked up]]*Table13[[#This Row],[unconditional survival NOW]]</f>
        <v>1.0800186318201443E-4</v>
      </c>
      <c r="AL97" s="62">
        <f>Table13[[#This Row],[cumulative debt until t]]*Table13[[#This Row],[Unconditional mortality NOW]]</f>
        <v>2.1121508015808613E-3</v>
      </c>
      <c r="AM97" s="47">
        <f>Table13[[#This Row],[probablistic premium stream]]/Table13[[#This Row],[lender discounter]]</f>
        <v>9.3957621613637702E-5</v>
      </c>
      <c r="AN97" s="58">
        <f>Table13[[#This Row],[probablistic repay from borrower]]/Table13[[#This Row],[lender discounter]]</f>
        <v>1.8374929835370142E-3</v>
      </c>
      <c r="AO97" s="47">
        <f>(Table13[[#This Row],[probablistic repay from borrower]]-Table13[[#This Row],[probablistic premium stream]])/Table13[[#This Row],[lender discounter]]</f>
        <v>1.7435353619233765E-3</v>
      </c>
      <c r="AP97" s="46">
        <f>AP96*(1+$D$4)+ Table13[[#This Row],[level premium marked up]]</f>
        <v>3.9624105147217051E-2</v>
      </c>
      <c r="AQ97" s="58">
        <f>AP97*Table13[[#This Row],[Unconditional mortality NOW]]</f>
        <v>7.6907013902485799E-4</v>
      </c>
      <c r="AR97" s="60">
        <f>Table13[[#This Row],[cumulative debt until t]]*Table13[[#This Row],[Unconditional mortality NOW]]</f>
        <v>2.1121508015808613E-3</v>
      </c>
      <c r="AS97" s="58">
        <f>Table13[[#This Row],[lender to pay cumulative probablistic undiscounted]]/Table13[[#This Row],[lender discounter]]</f>
        <v>6.6906254195880216E-4</v>
      </c>
    </row>
    <row r="98" spans="1:45" s="3" customFormat="1">
      <c r="A98" s="3">
        <v>102</v>
      </c>
      <c r="B98" s="8">
        <v>3.2000000000000001E-2</v>
      </c>
      <c r="C98" s="3">
        <v>0</v>
      </c>
      <c r="D98" s="12">
        <v>3.2000000000000001E-2</v>
      </c>
      <c r="E98" s="66">
        <v>0.34334999999999999</v>
      </c>
      <c r="F98" s="13">
        <f>1-Table13[[#This Row],[one-year conditional mortality AT ISSUE]]</f>
        <v>0.65664999999999996</v>
      </c>
      <c r="G98" s="13">
        <f>PRODUCT(F$17:F98)</f>
        <v>5.0570823202625414E-3</v>
      </c>
      <c r="H98" s="13">
        <f>Table13[[#This Row],[one-year conditional survival AT ISSUE]]*(1-Table13[[#This Row],[Lapse rate]])</f>
        <v>0.6356371999999999</v>
      </c>
      <c r="I98" s="13">
        <f>PRODUCT(H$17:H98)</f>
        <v>2.3850529293332811E-4</v>
      </c>
      <c r="J98" s="13">
        <f>G97*Table13[[#This Row],[one-year conditional mortality AT ISSUE]]</f>
        <v>2.644253734351852E-3</v>
      </c>
      <c r="K98" s="10">
        <f>I97*Table13[[#This Row],[one-year conditional mortality AT ISSUE]]</f>
        <v>1.2883259873503033E-4</v>
      </c>
      <c r="L98" s="3">
        <f t="shared" si="1"/>
        <v>2.4615991981893799E-3</v>
      </c>
      <c r="M98" s="44">
        <f>Table13[[#This Row],[Death benefit pay probability]]/Table13[[#This Row],[unconditional persistency AT ISSUE]]</f>
        <v>0.54016662335055288</v>
      </c>
      <c r="N98" s="44">
        <f>Table13[[#This Row],[one-year conditional mortality AT ISSUE]]/Table13[[#This Row],[one-year conditional persistency AT ISSUE]]</f>
        <v>0.54016662335055288</v>
      </c>
      <c r="O98" s="4">
        <f>(1+$B$14)^(Table13[[#This Row],[age since issue]]-$A$17)</f>
        <v>16.224388353589962</v>
      </c>
      <c r="P98" s="5">
        <f>(Table13[[#This Row],[level premium unmarked-up]]*Table13[[#This Row],[unconditional persistency AT ISSUE]]-Table13[[#This Row],[Death benefit pay probability]])</f>
        <v>-1.2824549429718172E-4</v>
      </c>
      <c r="Q98" s="4">
        <f>Table13[[#This Row],[Issuer profit with unmarked-up level premium]]/Table13[[#This Row],[Issuer discounter at issue]]</f>
        <v>-7.9044886933321536E-6</v>
      </c>
      <c r="R98" s="4">
        <f>(Table13[[#This Row],[variable premium unmarked up]]*Table13[[#This Row],[unconditional persistency AT ISSUE]]-Table13[[#This Row],[Death benefit pay probability]])</f>
        <v>0</v>
      </c>
      <c r="S98" s="6">
        <f>Table13[[#This Row],[level premium unmarked-up]]*(1+$B$15)</f>
        <v>2.4615991981893799E-3</v>
      </c>
      <c r="T98" s="6">
        <f>MIN(Table13[[#This Row],[variable premium unmarked up]]*(1+$B$15),1)</f>
        <v>0.54016662335055288</v>
      </c>
      <c r="U98" s="6">
        <f>Table13[[#This Row],[level premium marked up]]-Table13[[#This Row],[variable premium marked up]]</f>
        <v>-0.53770502415236354</v>
      </c>
      <c r="V98" s="6">
        <f>Table13[[#This Row],[additional cash]]+V97*(1+$D$2)</f>
        <v>-6.0361213205635638</v>
      </c>
      <c r="W98" s="12">
        <v>0.32824999999999999</v>
      </c>
      <c r="X98" s="13">
        <f>1-Table13[[#This Row],[one-year conditional mortality NOW]]</f>
        <v>0.67175000000000007</v>
      </c>
      <c r="Y98" s="49">
        <f>PRODUCT(X$17:X98)</f>
        <v>2.9472812489491493E-2</v>
      </c>
      <c r="Z98" s="13">
        <f>Table13[[#This Row],[one-year conditional survival NOW]]*(1-Table13[[#This Row],[Lapse rate]])</f>
        <v>0.650254</v>
      </c>
      <c r="AA98" s="13">
        <f>PRODUCT(Z$17:Z98)</f>
        <v>1.8094723063154121E-2</v>
      </c>
      <c r="AB98" s="50">
        <f>Y97*Table13[[#This Row],[one-year conditional mortality NOW]]</f>
        <v>1.4401861852885124E-2</v>
      </c>
      <c r="AC98" s="14">
        <v>1.49E-2</v>
      </c>
      <c r="AD98" s="28">
        <f>(1+Table13[[#This Row],[Yield curve now]])^(Table13[[#This Row],[age since issue]]-$B$11)</f>
        <v>1.248385706744549</v>
      </c>
      <c r="AE98" s="46">
        <f t="shared" si="3"/>
        <v>0.12728171739249211</v>
      </c>
      <c r="AF98" s="42">
        <f>1-Table13[[#This Row],[cumulative debt until t]]</f>
        <v>0.87271828260750794</v>
      </c>
      <c r="AG98" s="46">
        <f>Table13[[#This Row],[cumulative debt until t]]*Table13[[#This Row],[Unconditional mortality NOW]]/Table13[[#This Row],[discouter with yield curve]]</f>
        <v>1.4683712737026187E-3</v>
      </c>
      <c r="AH98" s="48">
        <f>Table13[[#This Row],[Unconditional mortality NOW]]/Table13[[#This Row],[discouter with yield curve]]</f>
        <v>1.1536387972945693E-2</v>
      </c>
      <c r="AI98" s="29">
        <f>Table13[[#This Row],[user profit (death benefit - debt)]]*Table13[[#This Row],[Unconditional mortality NOW]]/Table13[[#This Row],[discouter with yield curve]]</f>
        <v>1.0068016699243076E-2</v>
      </c>
      <c r="AJ98" s="29">
        <f>(1+$D$4)^(Table13[[#This Row],[age since issue]]-$B$11)</f>
        <v>1.1609689553699984</v>
      </c>
      <c r="AK98" s="57">
        <f>Table13[[#This Row],[level premium marked up]]*Table13[[#This Row],[unconditional survival NOW]]</f>
        <v>7.2550251592518196E-5</v>
      </c>
      <c r="AL98" s="62">
        <f>Table13[[#This Row],[cumulative debt until t]]*Table13[[#This Row],[Unconditional mortality NOW]]</f>
        <v>1.8330937102846371E-3</v>
      </c>
      <c r="AM98" s="47">
        <f>Table13[[#This Row],[probablistic premium stream]]/Table13[[#This Row],[lender discounter]]</f>
        <v>6.2491121107882317E-5</v>
      </c>
      <c r="AN98" s="58">
        <f>Table13[[#This Row],[probablistic repay from borrower]]/Table13[[#This Row],[lender discounter]]</f>
        <v>1.578934304664877E-3</v>
      </c>
      <c r="AO98" s="47">
        <f>(Table13[[#This Row],[probablistic repay from borrower]]-Table13[[#This Row],[probablistic premium stream]])/Table13[[#This Row],[lender discounter]]</f>
        <v>1.5164431835569946E-3</v>
      </c>
      <c r="AP98" s="46">
        <f>AP97*(1+$D$4)+ Table13[[#This Row],[level premium marked up]]</f>
        <v>4.2481945396878606E-2</v>
      </c>
      <c r="AQ98" s="58">
        <f>AP98*Table13[[#This Row],[Unconditional mortality NOW]]</f>
        <v>6.1181910884765473E-4</v>
      </c>
      <c r="AR98" s="60">
        <f>Table13[[#This Row],[cumulative debt until t]]*Table13[[#This Row],[Unconditional mortality NOW]]</f>
        <v>1.8330937102846371E-3</v>
      </c>
      <c r="AS98" s="58">
        <f>Table13[[#This Row],[lender to pay cumulative probablistic undiscounted]]/Table13[[#This Row],[lender discounter]]</f>
        <v>5.2699006809589423E-4</v>
      </c>
    </row>
    <row r="99" spans="1:45" s="3" customFormat="1">
      <c r="A99" s="3">
        <v>103</v>
      </c>
      <c r="B99" s="8">
        <v>3.2000000000000001E-2</v>
      </c>
      <c r="C99" s="3">
        <v>0</v>
      </c>
      <c r="D99" s="12">
        <v>3.2000000000000001E-2</v>
      </c>
      <c r="E99" s="66">
        <v>0.36326999999999998</v>
      </c>
      <c r="F99" s="13">
        <f>1-Table13[[#This Row],[one-year conditional mortality AT ISSUE]]</f>
        <v>0.63673000000000002</v>
      </c>
      <c r="G99" s="13">
        <f>PRODUCT(F$17:F99)</f>
        <v>3.2199960257807679E-3</v>
      </c>
      <c r="H99" s="13">
        <f>Table13[[#This Row],[one-year conditional survival AT ISSUE]]*(1-Table13[[#This Row],[Lapse rate]])</f>
        <v>0.61635463999999995</v>
      </c>
      <c r="I99" s="13">
        <f>PRODUCT(H$17:H99)</f>
        <v>1.4700384396401598E-4</v>
      </c>
      <c r="J99" s="13">
        <f>G98*Table13[[#This Row],[one-year conditional mortality AT ISSUE]]</f>
        <v>1.8370862944817733E-3</v>
      </c>
      <c r="K99" s="10">
        <f>I98*Table13[[#This Row],[one-year conditional mortality AT ISSUE]]</f>
        <v>8.6641817763890105E-5</v>
      </c>
      <c r="L99" s="3">
        <f t="shared" si="1"/>
        <v>2.4615991981893799E-3</v>
      </c>
      <c r="M99" s="44">
        <f>Table13[[#This Row],[Death benefit pay probability]]/Table13[[#This Row],[unconditional persistency AT ISSUE]]</f>
        <v>0.58938470877740134</v>
      </c>
      <c r="N99" s="44">
        <f>Table13[[#This Row],[one-year conditional mortality AT ISSUE]]/Table13[[#This Row],[one-year conditional persistency AT ISSUE]]</f>
        <v>0.58938470877740123</v>
      </c>
      <c r="O99" s="4">
        <f>(1+$B$14)^(Table13[[#This Row],[age since issue]]-$A$17)</f>
        <v>16.79224194596561</v>
      </c>
      <c r="P99" s="5">
        <f>(Table13[[#This Row],[level premium unmarked-up]]*Table13[[#This Row],[unconditional persistency AT ISSUE]]-Table13[[#This Row],[Death benefit pay probability]])</f>
        <v>-8.6279953219457528E-5</v>
      </c>
      <c r="Q99" s="4">
        <f>Table13[[#This Row],[Issuer profit with unmarked-up level premium]]/Table13[[#This Row],[Issuer discounter at issue]]</f>
        <v>-5.1380842115716757E-6</v>
      </c>
      <c r="R99" s="4">
        <f>(Table13[[#This Row],[variable premium unmarked up]]*Table13[[#This Row],[unconditional persistency AT ISSUE]]-Table13[[#This Row],[Death benefit pay probability]])</f>
        <v>0</v>
      </c>
      <c r="S99" s="6">
        <f>Table13[[#This Row],[level premium unmarked-up]]*(1+$B$15)</f>
        <v>2.4615991981893799E-3</v>
      </c>
      <c r="T99" s="6">
        <f>MIN(Table13[[#This Row],[variable premium unmarked up]]*(1+$B$15),1)</f>
        <v>0.58938470877740134</v>
      </c>
      <c r="U99" s="6">
        <f>Table13[[#This Row],[level premium marked up]]-Table13[[#This Row],[variable premium marked up]]</f>
        <v>-0.58692310957921201</v>
      </c>
      <c r="V99" s="6">
        <f>Table13[[#This Row],[additional cash]]+V98*(1+$D$2)</f>
        <v>-6.6290805514633391</v>
      </c>
      <c r="W99" s="12">
        <v>0.35002</v>
      </c>
      <c r="X99" s="13">
        <f>1-Table13[[#This Row],[one-year conditional mortality NOW]]</f>
        <v>0.64998</v>
      </c>
      <c r="Y99" s="49">
        <f>PRODUCT(X$17:X99)</f>
        <v>1.9156738661919682E-2</v>
      </c>
      <c r="Z99" s="13">
        <f>Table13[[#This Row],[one-year conditional survival NOW]]*(1-Table13[[#This Row],[Lapse rate]])</f>
        <v>0.62918063999999996</v>
      </c>
      <c r="AA99" s="13">
        <f>PRODUCT(Z$17:Z99)</f>
        <v>1.138484943749807E-2</v>
      </c>
      <c r="AB99" s="50">
        <f>Y98*Table13[[#This Row],[one-year conditional mortality NOW]]</f>
        <v>1.0316073827571812E-2</v>
      </c>
      <c r="AC99" s="14">
        <v>1.55E-2</v>
      </c>
      <c r="AD99" s="28">
        <f>(1+Table13[[#This Row],[Yield curve now]])^(Table13[[#This Row],[age since issue]]-$B$11)</f>
        <v>1.2790244419441767</v>
      </c>
      <c r="AE99" s="46">
        <f t="shared" si="3"/>
        <v>0.14839462129194939</v>
      </c>
      <c r="AF99" s="42">
        <f>1-Table13[[#This Row],[cumulative debt until t]]</f>
        <v>0.85160537870805064</v>
      </c>
      <c r="AG99" s="46">
        <f>Table13[[#This Row],[cumulative debt until t]]*Table13[[#This Row],[Unconditional mortality NOW]]/Table13[[#This Row],[discouter with yield curve]]</f>
        <v>1.1968886744144988E-3</v>
      </c>
      <c r="AH99" s="48">
        <f>Table13[[#This Row],[Unconditional mortality NOW]]/Table13[[#This Row],[discouter with yield curve]]</f>
        <v>8.0655798976686476E-3</v>
      </c>
      <c r="AI99" s="29">
        <f>Table13[[#This Row],[user profit (death benefit - debt)]]*Table13[[#This Row],[Unconditional mortality NOW]]/Table13[[#This Row],[discouter with yield curve]]</f>
        <v>6.8686912232541484E-3</v>
      </c>
      <c r="AJ99" s="29">
        <f>(1+$D$4)^(Table13[[#This Row],[age since issue]]-$B$11)</f>
        <v>1.1725786449236988</v>
      </c>
      <c r="AK99" s="57">
        <f>Table13[[#This Row],[level premium marked up]]*Table13[[#This Row],[unconditional survival NOW]]</f>
        <v>4.7156212530104986E-5</v>
      </c>
      <c r="AL99" s="62">
        <f>Table13[[#This Row],[cumulative debt until t]]*Table13[[#This Row],[Unconditional mortality NOW]]</f>
        <v>1.5308498688623097E-3</v>
      </c>
      <c r="AM99" s="47">
        <f>Table13[[#This Row],[probablistic premium stream]]/Table13[[#This Row],[lender discounter]]</f>
        <v>4.0215820690793414E-5</v>
      </c>
      <c r="AN99" s="58">
        <f>Table13[[#This Row],[probablistic repay from borrower]]/Table13[[#This Row],[lender discounter]]</f>
        <v>1.3055413174115277E-3</v>
      </c>
      <c r="AO99" s="47">
        <f>(Table13[[#This Row],[probablistic repay from borrower]]-Table13[[#This Row],[probablistic premium stream]])/Table13[[#This Row],[lender discounter]]</f>
        <v>1.2653254967207343E-3</v>
      </c>
      <c r="AP99" s="46">
        <f>AP98*(1+$D$4)+ Table13[[#This Row],[level premium marked up]]</f>
        <v>4.5368364049036769E-2</v>
      </c>
      <c r="AQ99" s="58">
        <f>AP99*Table13[[#This Row],[Unconditional mortality NOW]]</f>
        <v>4.680233929660181E-4</v>
      </c>
      <c r="AR99" s="60">
        <f>Table13[[#This Row],[cumulative debt until t]]*Table13[[#This Row],[Unconditional mortality NOW]]</f>
        <v>1.5308498688623097E-3</v>
      </c>
      <c r="AS99" s="58">
        <f>Table13[[#This Row],[lender to pay cumulative probablistic undiscounted]]/Table13[[#This Row],[lender discounter]]</f>
        <v>3.9914030073136204E-4</v>
      </c>
    </row>
    <row r="100" spans="1:45" s="3" customFormat="1">
      <c r="A100" s="3">
        <v>104</v>
      </c>
      <c r="B100" s="8">
        <v>3.2000000000000001E-2</v>
      </c>
      <c r="C100" s="3">
        <v>0</v>
      </c>
      <c r="D100" s="12">
        <v>3.2000000000000001E-2</v>
      </c>
      <c r="E100" s="66">
        <v>0.38434000000000001</v>
      </c>
      <c r="F100" s="13">
        <f>1-Table13[[#This Row],[one-year conditional mortality AT ISSUE]]</f>
        <v>0.61565999999999999</v>
      </c>
      <c r="G100" s="13">
        <f>PRODUCT(F$17:F100)</f>
        <v>1.9824227532321873E-3</v>
      </c>
      <c r="H100" s="13">
        <f>Table13[[#This Row],[one-year conditional survival AT ISSUE]]*(1-Table13[[#This Row],[Lapse rate]])</f>
        <v>0.59595887999999997</v>
      </c>
      <c r="I100" s="13">
        <f>PRODUCT(H$17:H100)</f>
        <v>8.7608246204489717E-5</v>
      </c>
      <c r="J100" s="13">
        <f>G99*Table13[[#This Row],[one-year conditional mortality AT ISSUE]]</f>
        <v>1.2375732725485803E-3</v>
      </c>
      <c r="K100" s="10">
        <f>I99*Table13[[#This Row],[one-year conditional mortality AT ISSUE]]</f>
        <v>5.6499457389129903E-5</v>
      </c>
      <c r="L100" s="3">
        <f t="shared" si="1"/>
        <v>2.4615991981893799E-3</v>
      </c>
      <c r="M100" s="44">
        <f>Table13[[#This Row],[Death benefit pay probability]]/Table13[[#This Row],[unconditional persistency AT ISSUE]]</f>
        <v>0.64491026629219794</v>
      </c>
      <c r="N100" s="44">
        <f>Table13[[#This Row],[one-year conditional mortality AT ISSUE]]/Table13[[#This Row],[one-year conditional persistency AT ISSUE]]</f>
        <v>0.64491026629219794</v>
      </c>
      <c r="O100" s="4">
        <f>(1+$B$14)^(Table13[[#This Row],[age since issue]]-$A$17)</f>
        <v>17.379970414074403</v>
      </c>
      <c r="P100" s="5">
        <f>(Table13[[#This Row],[level premium unmarked-up]]*Table13[[#This Row],[unconditional persistency AT ISSUE]]-Table13[[#This Row],[Death benefit pay probability]])</f>
        <v>-5.6283801000518155E-5</v>
      </c>
      <c r="Q100" s="4">
        <f>Table13[[#This Row],[Issuer profit with unmarked-up level premium]]/Table13[[#This Row],[Issuer discounter at issue]]</f>
        <v>-3.2384290455948763E-6</v>
      </c>
      <c r="R100" s="4">
        <f>(Table13[[#This Row],[variable premium unmarked up]]*Table13[[#This Row],[unconditional persistency AT ISSUE]]-Table13[[#This Row],[Death benefit pay probability]])</f>
        <v>0</v>
      </c>
      <c r="S100" s="6">
        <f>Table13[[#This Row],[level premium unmarked-up]]*(1+$B$15)</f>
        <v>2.4615991981893799E-3</v>
      </c>
      <c r="T100" s="6">
        <f>MIN(Table13[[#This Row],[variable premium unmarked up]]*(1+$B$15),1)</f>
        <v>0.64491026629219794</v>
      </c>
      <c r="U100" s="6">
        <f>Table13[[#This Row],[level premium marked up]]-Table13[[#This Row],[variable premium marked up]]</f>
        <v>-0.64244866709400861</v>
      </c>
      <c r="V100" s="6">
        <f>Table13[[#This Row],[additional cash]]+V99*(1+$D$2)</f>
        <v>-7.2781582991088101</v>
      </c>
      <c r="W100" s="12">
        <v>0.37164999999999998</v>
      </c>
      <c r="X100" s="13">
        <f>1-Table13[[#This Row],[one-year conditional mortality NOW]]</f>
        <v>0.62834999999999996</v>
      </c>
      <c r="Y100" s="49">
        <f>PRODUCT(X$17:X100)</f>
        <v>1.2037136738217231E-2</v>
      </c>
      <c r="Z100" s="13">
        <f>Table13[[#This Row],[one-year conditional survival NOW]]*(1-Table13[[#This Row],[Lapse rate]])</f>
        <v>0.60824279999999997</v>
      </c>
      <c r="AA100" s="13">
        <f>PRODUCT(Z$17:Z100)</f>
        <v>6.9247526994422508E-3</v>
      </c>
      <c r="AB100" s="50">
        <f>Y99*Table13[[#This Row],[one-year conditional mortality NOW]]</f>
        <v>7.1196019237024493E-3</v>
      </c>
      <c r="AC100" s="14">
        <v>1.61E-2</v>
      </c>
      <c r="AD100" s="28">
        <f>(1+Table13[[#This Row],[Yield curve now]])^(Table13[[#This Row],[age since issue]]-$B$11)</f>
        <v>1.3119572178771328</v>
      </c>
      <c r="AE100" s="46">
        <f t="shared" si="3"/>
        <v>0.17254261951537622</v>
      </c>
      <c r="AF100" s="42">
        <f>1-Table13[[#This Row],[cumulative debt until t]]</f>
        <v>0.82745738048462381</v>
      </c>
      <c r="AG100" s="46">
        <f>Table13[[#This Row],[cumulative debt until t]]*Table13[[#This Row],[Unconditional mortality NOW]]/Table13[[#This Row],[discouter with yield curve]]</f>
        <v>9.3633751854351811E-4</v>
      </c>
      <c r="AH100" s="48">
        <f>Table13[[#This Row],[Unconditional mortality NOW]]/Table13[[#This Row],[discouter with yield curve]]</f>
        <v>5.4267028121714354E-3</v>
      </c>
      <c r="AI100" s="29">
        <f>Table13[[#This Row],[user profit (death benefit - debt)]]*Table13[[#This Row],[Unconditional mortality NOW]]/Table13[[#This Row],[discouter with yield curve]]</f>
        <v>4.4903652936279176E-3</v>
      </c>
      <c r="AJ100" s="29">
        <f>(1+$D$4)^(Table13[[#This Row],[age since issue]]-$B$11)</f>
        <v>1.1843044313729358</v>
      </c>
      <c r="AK100" s="57">
        <f>Table13[[#This Row],[level premium marked up]]*Table13[[#This Row],[unconditional survival NOW]]</f>
        <v>2.9630606143291463E-5</v>
      </c>
      <c r="AL100" s="62">
        <f>Table13[[#This Row],[cumulative debt until t]]*Table13[[#This Row],[Unconditional mortality NOW]]</f>
        <v>1.2284347658223322E-3</v>
      </c>
      <c r="AM100" s="47">
        <f>Table13[[#This Row],[probablistic premium stream]]/Table13[[#This Row],[lender discounter]]</f>
        <v>2.5019416763425778E-5</v>
      </c>
      <c r="AN100" s="58">
        <f>Table13[[#This Row],[probablistic repay from borrower]]/Table13[[#This Row],[lender discounter]]</f>
        <v>1.0372626609175457E-3</v>
      </c>
      <c r="AO100" s="47">
        <f>(Table13[[#This Row],[probablistic repay from borrower]]-Table13[[#This Row],[probablistic premium stream]])/Table13[[#This Row],[lender discounter]]</f>
        <v>1.0122432441541198E-3</v>
      </c>
      <c r="AP100" s="46">
        <f>AP99*(1+$D$4)+ Table13[[#This Row],[level premium marked up]]</f>
        <v>4.8283646887716511E-2</v>
      </c>
      <c r="AQ100" s="58">
        <f>AP100*Table13[[#This Row],[Unconditional mortality NOW]]</f>
        <v>3.4376034526515623E-4</v>
      </c>
      <c r="AR100" s="60">
        <f>Table13[[#This Row],[cumulative debt until t]]*Table13[[#This Row],[Unconditional mortality NOW]]</f>
        <v>1.2284347658223322E-3</v>
      </c>
      <c r="AS100" s="58">
        <f>Table13[[#This Row],[lender to pay cumulative probablistic undiscounted]]/Table13[[#This Row],[lender discounter]]</f>
        <v>2.9026349657971227E-4</v>
      </c>
    </row>
    <row r="101" spans="1:45" s="3" customFormat="1">
      <c r="A101" s="3">
        <v>105</v>
      </c>
      <c r="B101" s="8">
        <v>3.2000000000000001E-2</v>
      </c>
      <c r="C101" s="3">
        <v>0</v>
      </c>
      <c r="D101" s="12">
        <v>3.2000000000000001E-2</v>
      </c>
      <c r="E101" s="66">
        <v>0.40662999999999999</v>
      </c>
      <c r="F101" s="13">
        <f>1-Table13[[#This Row],[one-year conditional mortality AT ISSUE]]</f>
        <v>0.59336999999999995</v>
      </c>
      <c r="G101" s="13">
        <f>PRODUCT(F$17:F101)</f>
        <v>1.1763101890853828E-3</v>
      </c>
      <c r="H101" s="13">
        <f>Table13[[#This Row],[one-year conditional survival AT ISSUE]]*(1-Table13[[#This Row],[Lapse rate]])</f>
        <v>0.57438215999999997</v>
      </c>
      <c r="I101" s="13">
        <f>PRODUCT(H$17:H101)</f>
        <v>5.0320613688746602E-5</v>
      </c>
      <c r="J101" s="13">
        <f>G100*Table13[[#This Row],[one-year conditional mortality AT ISSUE]]</f>
        <v>8.0611256414680435E-4</v>
      </c>
      <c r="K101" s="10">
        <f>I100*Table13[[#This Row],[one-year conditional mortality AT ISSUE]]</f>
        <v>3.5624141154131653E-5</v>
      </c>
      <c r="L101" s="3">
        <f t="shared" si="1"/>
        <v>2.4615991981893799E-3</v>
      </c>
      <c r="M101" s="44">
        <f>Table13[[#This Row],[Death benefit pay probability]]/Table13[[#This Row],[unconditional persistency AT ISSUE]]</f>
        <v>0.70794329684612767</v>
      </c>
      <c r="N101" s="44">
        <f>Table13[[#This Row],[one-year conditional mortality AT ISSUE]]/Table13[[#This Row],[one-year conditional persistency AT ISSUE]]</f>
        <v>0.70794329684612767</v>
      </c>
      <c r="O101" s="4">
        <f>(1+$B$14)^(Table13[[#This Row],[age since issue]]-$A$17)</f>
        <v>17.988269378567004</v>
      </c>
      <c r="P101" s="5">
        <f>(Table13[[#This Row],[level premium unmarked-up]]*Table13[[#This Row],[unconditional persistency AT ISSUE]]-Table13[[#This Row],[Death benefit pay probability]])</f>
        <v>-3.5500271971823035E-5</v>
      </c>
      <c r="Q101" s="4">
        <f>Table13[[#This Row],[Issuer profit with unmarked-up level premium]]/Table13[[#This Row],[Issuer discounter at issue]]</f>
        <v>-1.973523479369369E-6</v>
      </c>
      <c r="R101" s="4">
        <f>(Table13[[#This Row],[variable premium unmarked up]]*Table13[[#This Row],[unconditional persistency AT ISSUE]]-Table13[[#This Row],[Death benefit pay probability]])</f>
        <v>0</v>
      </c>
      <c r="S101" s="6">
        <f>Table13[[#This Row],[level premium unmarked-up]]*(1+$B$15)</f>
        <v>2.4615991981893799E-3</v>
      </c>
      <c r="T101" s="6">
        <f>MIN(Table13[[#This Row],[variable premium unmarked up]]*(1+$B$15),1)</f>
        <v>0.70794329684612767</v>
      </c>
      <c r="U101" s="6">
        <f>Table13[[#This Row],[level premium marked up]]-Table13[[#This Row],[variable premium marked up]]</f>
        <v>-0.70548169764793833</v>
      </c>
      <c r="V101" s="6">
        <f>Table13[[#This Row],[additional cash]]+V100*(1+$D$2)</f>
        <v>-7.9909181550558568</v>
      </c>
      <c r="W101" s="12">
        <v>0.39278999999999997</v>
      </c>
      <c r="X101" s="13">
        <f>1-Table13[[#This Row],[one-year conditional mortality NOW]]</f>
        <v>0.60721000000000003</v>
      </c>
      <c r="Y101" s="49">
        <f>PRODUCT(X$17:X101)</f>
        <v>7.3090697988128853E-3</v>
      </c>
      <c r="Z101" s="13">
        <f>Table13[[#This Row],[one-year conditional survival NOW]]*(1-Table13[[#This Row],[Lapse rate]])</f>
        <v>0.58777928000000002</v>
      </c>
      <c r="AA101" s="13">
        <f>PRODUCT(Z$17:Z101)</f>
        <v>4.0702261558562226E-3</v>
      </c>
      <c r="AB101" s="50">
        <f>Y100*Table13[[#This Row],[one-year conditional mortality NOW]]</f>
        <v>4.7280669394043455E-3</v>
      </c>
      <c r="AC101" s="14">
        <v>1.67E-2</v>
      </c>
      <c r="AD101" s="28">
        <f>(1+Table13[[#This Row],[Yield curve now]])^(Table13[[#This Row],[age since issue]]-$B$11)</f>
        <v>1.347320209115261</v>
      </c>
      <c r="AE101" s="46">
        <f t="shared" si="3"/>
        <v>0.20016202331579877</v>
      </c>
      <c r="AF101" s="42">
        <f>1-Table13[[#This Row],[cumulative debt until t]]</f>
        <v>0.7998379766842012</v>
      </c>
      <c r="AG101" s="46">
        <f>Table13[[#This Row],[cumulative debt until t]]*Table13[[#This Row],[Unconditional mortality NOW]]/Table13[[#This Row],[discouter with yield curve]]</f>
        <v>7.0241612837171417E-4</v>
      </c>
      <c r="AH101" s="48">
        <f>Table13[[#This Row],[Unconditional mortality NOW]]/Table13[[#This Row],[discouter with yield curve]]</f>
        <v>3.5092377501775209E-3</v>
      </c>
      <c r="AI101" s="29">
        <f>Table13[[#This Row],[user profit (death benefit - debt)]]*Table13[[#This Row],[Unconditional mortality NOW]]/Table13[[#This Row],[discouter with yield curve]]</f>
        <v>2.8068216218058066E-3</v>
      </c>
      <c r="AJ101" s="29">
        <f>(1+$D$4)^(Table13[[#This Row],[age since issue]]-$B$11)</f>
        <v>1.1961474756866652</v>
      </c>
      <c r="AK101" s="57">
        <f>Table13[[#This Row],[level premium marked up]]*Table13[[#This Row],[unconditional survival NOW]]</f>
        <v>1.799200035626801E-5</v>
      </c>
      <c r="AL101" s="62">
        <f>Table13[[#This Row],[cumulative debt until t]]*Table13[[#This Row],[Unconditional mortality NOW]]</f>
        <v>9.4637944496370999E-4</v>
      </c>
      <c r="AM101" s="47">
        <f>Table13[[#This Row],[probablistic premium stream]]/Table13[[#This Row],[lender discounter]]</f>
        <v>1.5041623814772045E-5</v>
      </c>
      <c r="AN101" s="58">
        <f>Table13[[#This Row],[probablistic repay from borrower]]/Table13[[#This Row],[lender discounter]]</f>
        <v>7.9118960178420101E-4</v>
      </c>
      <c r="AO101" s="47">
        <f>(Table13[[#This Row],[probablistic repay from borrower]]-Table13[[#This Row],[probablistic premium stream]])/Table13[[#This Row],[lender discounter]]</f>
        <v>7.76147977969429E-4</v>
      </c>
      <c r="AP101" s="46">
        <f>AP100*(1+$D$4)+ Table13[[#This Row],[level premium marked up]]</f>
        <v>5.1228082554783061E-2</v>
      </c>
      <c r="AQ101" s="58">
        <f>AP101*Table13[[#This Row],[Unconditional mortality NOW]]</f>
        <v>2.4220980349634629E-4</v>
      </c>
      <c r="AR101" s="60">
        <f>Table13[[#This Row],[cumulative debt until t]]*Table13[[#This Row],[Unconditional mortality NOW]]</f>
        <v>9.4637944496370999E-4</v>
      </c>
      <c r="AS101" s="58">
        <f>Table13[[#This Row],[lender to pay cumulative probablistic undiscounted]]/Table13[[#This Row],[lender discounter]]</f>
        <v>2.0249158938976346E-4</v>
      </c>
    </row>
    <row r="102" spans="1:45" s="3" customFormat="1">
      <c r="A102" s="3">
        <v>106</v>
      </c>
      <c r="B102" s="8">
        <v>3.2000000000000001E-2</v>
      </c>
      <c r="C102" s="3">
        <v>0</v>
      </c>
      <c r="D102" s="12">
        <v>3.2000000000000001E-2</v>
      </c>
      <c r="E102" s="66">
        <v>0.43020999999999998</v>
      </c>
      <c r="F102" s="13">
        <f>1-Table13[[#This Row],[one-year conditional mortality AT ISSUE]]</f>
        <v>0.56979000000000002</v>
      </c>
      <c r="G102" s="13">
        <f>PRODUCT(F$17:F102)</f>
        <v>6.702497826389603E-4</v>
      </c>
      <c r="H102" s="13">
        <f>Table13[[#This Row],[one-year conditional survival AT ISSUE]]*(1-Table13[[#This Row],[Lapse rate]])</f>
        <v>0.55155672</v>
      </c>
      <c r="I102" s="13">
        <f>PRODUCT(H$17:H102)</f>
        <v>2.7754672634552178E-5</v>
      </c>
      <c r="J102" s="13">
        <f>G101*Table13[[#This Row],[one-year conditional mortality AT ISSUE]]</f>
        <v>5.0606040644642254E-4</v>
      </c>
      <c r="K102" s="10">
        <f>I101*Table13[[#This Row],[one-year conditional mortality AT ISSUE]]</f>
        <v>2.1648431215035674E-5</v>
      </c>
      <c r="L102" s="3">
        <f t="shared" si="1"/>
        <v>2.4615991981893799E-3</v>
      </c>
      <c r="M102" s="44">
        <f>Table13[[#This Row],[Death benefit pay probability]]/Table13[[#This Row],[unconditional persistency AT ISSUE]]</f>
        <v>0.77999230976643696</v>
      </c>
      <c r="N102" s="44">
        <f>Table13[[#This Row],[one-year conditional mortality AT ISSUE]]/Table13[[#This Row],[one-year conditional persistency AT ISSUE]]</f>
        <v>0.77999230976643708</v>
      </c>
      <c r="O102" s="4">
        <f>(1+$B$14)^(Table13[[#This Row],[age since issue]]-$A$17)</f>
        <v>18.617858806816848</v>
      </c>
      <c r="P102" s="5">
        <f>(Table13[[#This Row],[level premium unmarked-up]]*Table13[[#This Row],[unconditional persistency AT ISSUE]]-Table13[[#This Row],[Death benefit pay probability]])</f>
        <v>-2.1580110335132452E-5</v>
      </c>
      <c r="Q102" s="4">
        <f>Table13[[#This Row],[Issuer profit with unmarked-up level premium]]/Table13[[#This Row],[Issuer discounter at issue]]</f>
        <v>-1.1591080671011959E-6</v>
      </c>
      <c r="R102" s="4">
        <f>(Table13[[#This Row],[variable premium unmarked up]]*Table13[[#This Row],[unconditional persistency AT ISSUE]]-Table13[[#This Row],[Death benefit pay probability]])</f>
        <v>0</v>
      </c>
      <c r="S102" s="6">
        <f>Table13[[#This Row],[level premium unmarked-up]]*(1+$B$15)</f>
        <v>2.4615991981893799E-3</v>
      </c>
      <c r="T102" s="6">
        <f>MIN(Table13[[#This Row],[variable premium unmarked up]]*(1+$B$15),1)</f>
        <v>0.77999230976643696</v>
      </c>
      <c r="U102" s="6">
        <f>Table13[[#This Row],[level premium marked up]]-Table13[[#This Row],[variable premium marked up]]</f>
        <v>-0.77753071056824763</v>
      </c>
      <c r="V102" s="6">
        <f>Table13[[#This Row],[additional cash]]+V101*(1+$D$2)</f>
        <v>-8.7764397837791588</v>
      </c>
      <c r="W102" s="12">
        <v>0.41304999999999997</v>
      </c>
      <c r="X102" s="13">
        <f>1-Table13[[#This Row],[one-year conditional mortality NOW]]</f>
        <v>0.58695000000000008</v>
      </c>
      <c r="Y102" s="49">
        <f>PRODUCT(X$17:X102)</f>
        <v>4.2900585184132232E-3</v>
      </c>
      <c r="Z102" s="13">
        <f>Table13[[#This Row],[one-year conditional survival NOW]]*(1-Table13[[#This Row],[Lapse rate]])</f>
        <v>0.56816760000000011</v>
      </c>
      <c r="AA102" s="13">
        <f>PRODUCT(Z$17:Z102)</f>
        <v>2.3125706264300562E-3</v>
      </c>
      <c r="AB102" s="50">
        <f>Y101*Table13[[#This Row],[one-year conditional mortality NOW]]</f>
        <v>3.0190112803996621E-3</v>
      </c>
      <c r="AC102" s="14">
        <v>1.7299999999999999E-2</v>
      </c>
      <c r="AD102" s="28">
        <f>(1+Table13[[#This Row],[Yield curve now]])^(Table13[[#This Row],[age since issue]]-$B$11)</f>
        <v>1.3852617591163727</v>
      </c>
      <c r="AE102" s="46">
        <f t="shared" si="3"/>
        <v>0.23175186605277334</v>
      </c>
      <c r="AF102" s="42">
        <f>1-Table13[[#This Row],[cumulative debt until t]]</f>
        <v>0.76824813394722669</v>
      </c>
      <c r="AG102" s="46">
        <f>Table13[[#This Row],[cumulative debt until t]]*Table13[[#This Row],[Unconditional mortality NOW]]/Table13[[#This Row],[discouter with yield curve]]</f>
        <v>5.0507529949667606E-4</v>
      </c>
      <c r="AH102" s="48">
        <f>Table13[[#This Row],[Unconditional mortality NOW]]/Table13[[#This Row],[discouter with yield curve]]</f>
        <v>2.1793796447000901E-3</v>
      </c>
      <c r="AI102" s="29">
        <f>Table13[[#This Row],[user profit (death benefit - debt)]]*Table13[[#This Row],[Unconditional mortality NOW]]/Table13[[#This Row],[discouter with yield curve]]</f>
        <v>1.6743043452034142E-3</v>
      </c>
      <c r="AJ102" s="29">
        <f>(1+$D$4)^(Table13[[#This Row],[age since issue]]-$B$11)</f>
        <v>1.2081089504435316</v>
      </c>
      <c r="AK102" s="57">
        <f>Table13[[#This Row],[level premium marked up]]*Table13[[#This Row],[unconditional survival NOW]]</f>
        <v>1.056040460911151E-5</v>
      </c>
      <c r="AL102" s="62">
        <f>Table13[[#This Row],[cumulative debt until t]]*Table13[[#This Row],[Unconditional mortality NOW]]</f>
        <v>6.9966149786699424E-4</v>
      </c>
      <c r="AM102" s="47">
        <f>Table13[[#This Row],[probablistic premium stream]]/Table13[[#This Row],[lender discounter]]</f>
        <v>8.7412684139410453E-6</v>
      </c>
      <c r="AN102" s="58">
        <f>Table13[[#This Row],[probablistic repay from borrower]]/Table13[[#This Row],[lender discounter]]</f>
        <v>5.791377488016526E-4</v>
      </c>
      <c r="AO102" s="47">
        <f>(Table13[[#This Row],[probablistic repay from borrower]]-Table13[[#This Row],[probablistic premium stream]])/Table13[[#This Row],[lender discounter]]</f>
        <v>5.7039648038771163E-4</v>
      </c>
      <c r="AP102" s="46">
        <f>AP101*(1+$D$4)+ Table13[[#This Row],[level premium marked up]]</f>
        <v>5.4201962578520266E-2</v>
      </c>
      <c r="AQ102" s="58">
        <f>AP102*Table13[[#This Row],[Unconditional mortality NOW]]</f>
        <v>1.6363633644435303E-4</v>
      </c>
      <c r="AR102" s="60">
        <f>Table13[[#This Row],[cumulative debt until t]]*Table13[[#This Row],[Unconditional mortality NOW]]</f>
        <v>6.9966149786699424E-4</v>
      </c>
      <c r="AS102" s="58">
        <f>Table13[[#This Row],[lender to pay cumulative probablistic undiscounted]]/Table13[[#This Row],[lender discounter]]</f>
        <v>1.3544832722601501E-4</v>
      </c>
    </row>
    <row r="103" spans="1:45" s="3" customFormat="1">
      <c r="A103" s="3">
        <v>107</v>
      </c>
      <c r="B103" s="8">
        <v>3.2000000000000001E-2</v>
      </c>
      <c r="C103" s="3">
        <v>0</v>
      </c>
      <c r="D103" s="12">
        <v>3.2000000000000001E-2</v>
      </c>
      <c r="E103" s="66">
        <v>0.45516000000000001</v>
      </c>
      <c r="F103" s="13">
        <f>1-Table13[[#This Row],[one-year conditional mortality AT ISSUE]]</f>
        <v>0.54483999999999999</v>
      </c>
      <c r="G103" s="13">
        <f>PRODUCT(F$17:F103)</f>
        <v>3.6517889157301113E-4</v>
      </c>
      <c r="H103" s="13">
        <f>Table13[[#This Row],[one-year conditional survival AT ISSUE]]*(1-Table13[[#This Row],[Lapse rate]])</f>
        <v>0.52740511999999995</v>
      </c>
      <c r="I103" s="13">
        <f>PRODUCT(H$17:H103)</f>
        <v>1.4637956451386706E-5</v>
      </c>
      <c r="J103" s="13">
        <f>G102*Table13[[#This Row],[one-year conditional mortality AT ISSUE]]</f>
        <v>3.0507089106594917E-4</v>
      </c>
      <c r="K103" s="10">
        <f>I102*Table13[[#This Row],[one-year conditional mortality AT ISSUE]]</f>
        <v>1.263281679634277E-5</v>
      </c>
      <c r="L103" s="3">
        <f t="shared" si="1"/>
        <v>2.4615991981893799E-3</v>
      </c>
      <c r="M103" s="44">
        <f>Table13[[#This Row],[Death benefit pay probability]]/Table13[[#This Row],[unconditional persistency AT ISSUE]]</f>
        <v>0.86301778791984429</v>
      </c>
      <c r="N103" s="44">
        <f>Table13[[#This Row],[one-year conditional mortality AT ISSUE]]/Table13[[#This Row],[one-year conditional persistency AT ISSUE]]</f>
        <v>0.86301778791984429</v>
      </c>
      <c r="O103" s="4">
        <f>(1+$B$14)^(Table13[[#This Row],[age since issue]]-$A$17)</f>
        <v>19.269483865055438</v>
      </c>
      <c r="P103" s="5">
        <f>(Table13[[#This Row],[level premium unmarked-up]]*Table13[[#This Row],[unconditional persistency AT ISSUE]]-Table13[[#This Row],[Death benefit pay probability]])</f>
        <v>-1.2596784014478906E-5</v>
      </c>
      <c r="Q103" s="4">
        <f>Table13[[#This Row],[Issuer profit with unmarked-up level premium]]/Table13[[#This Row],[Issuer discounter at issue]]</f>
        <v>-6.5371673173471713E-7</v>
      </c>
      <c r="R103" s="4">
        <f>(Table13[[#This Row],[variable premium unmarked up]]*Table13[[#This Row],[unconditional persistency AT ISSUE]]-Table13[[#This Row],[Death benefit pay probability]])</f>
        <v>0</v>
      </c>
      <c r="S103" s="6">
        <f>Table13[[#This Row],[level premium unmarked-up]]*(1+$B$15)</f>
        <v>2.4615991981893799E-3</v>
      </c>
      <c r="T103" s="6">
        <f>MIN(Table13[[#This Row],[variable premium unmarked up]]*(1+$B$15),1)</f>
        <v>0.86301778791984429</v>
      </c>
      <c r="U103" s="6">
        <f>Table13[[#This Row],[level premium marked up]]-Table13[[#This Row],[variable premium marked up]]</f>
        <v>-0.86055618872165496</v>
      </c>
      <c r="V103" s="6">
        <f>Table13[[#This Row],[additional cash]]+V102*(1+$D$2)</f>
        <v>-9.6457724122845914</v>
      </c>
      <c r="W103" s="12">
        <v>0.43208000000000002</v>
      </c>
      <c r="X103" s="13">
        <f>1-Table13[[#This Row],[one-year conditional mortality NOW]]</f>
        <v>0.56791999999999998</v>
      </c>
      <c r="Y103" s="49">
        <f>PRODUCT(X$17:X103)</f>
        <v>2.4364100337772375E-3</v>
      </c>
      <c r="Z103" s="13">
        <f>Table13[[#This Row],[one-year conditional survival NOW]]*(1-Table13[[#This Row],[Lapse rate]])</f>
        <v>0.54974656</v>
      </c>
      <c r="AA103" s="13">
        <f>PRODUCT(Z$17:Z103)</f>
        <v>1.2713277466369684E-3</v>
      </c>
      <c r="AB103" s="50">
        <f>Y102*Table13[[#This Row],[one-year conditional mortality NOW]]</f>
        <v>1.8536484846359855E-3</v>
      </c>
      <c r="AC103" s="14">
        <v>1.7899999999999999E-2</v>
      </c>
      <c r="AD103" s="28">
        <f>(1+Table13[[#This Row],[Yield curve now]])^(Table13[[#This Row],[age since issue]]-$B$11)</f>
        <v>1.4259433996625728</v>
      </c>
      <c r="AE103" s="46">
        <f t="shared" si="3"/>
        <v>0.26788291983502471</v>
      </c>
      <c r="AF103" s="42">
        <f>1-Table13[[#This Row],[cumulative debt until t]]</f>
        <v>0.73211708016497523</v>
      </c>
      <c r="AG103" s="46">
        <f>Table13[[#This Row],[cumulative debt until t]]*Table13[[#This Row],[Unconditional mortality NOW]]/Table13[[#This Row],[discouter with yield curve]]</f>
        <v>3.4823315464664308E-4</v>
      </c>
      <c r="AH103" s="48">
        <f>Table13[[#This Row],[Unconditional mortality NOW]]/Table13[[#This Row],[discouter with yield curve]]</f>
        <v>1.299945345007819E-3</v>
      </c>
      <c r="AI103" s="29">
        <f>Table13[[#This Row],[user profit (death benefit - debt)]]*Table13[[#This Row],[Unconditional mortality NOW]]/Table13[[#This Row],[discouter with yield curve]]</f>
        <v>9.5171219036117578E-4</v>
      </c>
      <c r="AJ103" s="29">
        <f>(1+$D$4)^(Table13[[#This Row],[age since issue]]-$B$11)</f>
        <v>1.220190039947967</v>
      </c>
      <c r="AK103" s="57">
        <f>Table13[[#This Row],[level premium marked up]]*Table13[[#This Row],[unconditional survival NOW]]</f>
        <v>5.9974649856066078E-6</v>
      </c>
      <c r="AL103" s="62">
        <f>Table13[[#This Row],[cumulative debt until t]]*Table13[[#This Row],[Unconditional mortality NOW]]</f>
        <v>4.965607684120567E-4</v>
      </c>
      <c r="AM103" s="47">
        <f>Table13[[#This Row],[probablistic premium stream]]/Table13[[#This Row],[lender discounter]]</f>
        <v>4.9151892649954424E-6</v>
      </c>
      <c r="AN103" s="58">
        <f>Table13[[#This Row],[probablistic repay from borrower]]/Table13[[#This Row],[lender discounter]]</f>
        <v>4.0695363193853941E-4</v>
      </c>
      <c r="AO103" s="47">
        <f>(Table13[[#This Row],[probablistic repay from borrower]]-Table13[[#This Row],[probablistic premium stream]])/Table13[[#This Row],[lender discounter]]</f>
        <v>4.0203844267354394E-4</v>
      </c>
      <c r="AP103" s="46">
        <f>AP102*(1+$D$4)+ Table13[[#This Row],[level premium marked up]]</f>
        <v>5.7205581402494848E-2</v>
      </c>
      <c r="AQ103" s="58">
        <f>AP103*Table13[[#This Row],[Unconditional mortality NOW]]</f>
        <v>1.0603903927945509E-4</v>
      </c>
      <c r="AR103" s="60">
        <f>Table13[[#This Row],[cumulative debt until t]]*Table13[[#This Row],[Unconditional mortality NOW]]</f>
        <v>4.965607684120567E-4</v>
      </c>
      <c r="AS103" s="58">
        <f>Table13[[#This Row],[lender to pay cumulative probablistic undiscounted]]/Table13[[#This Row],[lender discounter]]</f>
        <v>8.6903708281356679E-5</v>
      </c>
    </row>
    <row r="104" spans="1:45" s="3" customFormat="1">
      <c r="A104" s="3">
        <v>108</v>
      </c>
      <c r="B104" s="8">
        <v>3.2000000000000001E-2</v>
      </c>
      <c r="C104" s="3">
        <v>0</v>
      </c>
      <c r="D104" s="12">
        <v>3.2000000000000001E-2</v>
      </c>
      <c r="E104" s="66">
        <v>0.48155999999999999</v>
      </c>
      <c r="F104" s="13">
        <f>1-Table13[[#This Row],[one-year conditional mortality AT ISSUE]]</f>
        <v>0.51844000000000001</v>
      </c>
      <c r="G104" s="13">
        <f>PRODUCT(F$17:F104)</f>
        <v>1.893233445471119E-4</v>
      </c>
      <c r="H104" s="13">
        <f>Table13[[#This Row],[one-year conditional survival AT ISSUE]]*(1-Table13[[#This Row],[Lapse rate]])</f>
        <v>0.50184991999999995</v>
      </c>
      <c r="I104" s="13">
        <f>PRODUCT(H$17:H104)</f>
        <v>7.3460572740919019E-6</v>
      </c>
      <c r="J104" s="13">
        <f>G103*Table13[[#This Row],[one-year conditional mortality AT ISSUE]]</f>
        <v>1.7585554702589923E-4</v>
      </c>
      <c r="K104" s="10">
        <f>I103*Table13[[#This Row],[one-year conditional mortality AT ISSUE]]</f>
        <v>7.0490543087297822E-6</v>
      </c>
      <c r="L104" s="3">
        <f t="shared" si="1"/>
        <v>2.4615991981893799E-3</v>
      </c>
      <c r="M104" s="44">
        <f>Table13[[#This Row],[Death benefit pay probability]]/Table13[[#This Row],[unconditional persistency AT ISSUE]]</f>
        <v>0.95956974547290963</v>
      </c>
      <c r="N104" s="44">
        <f>Table13[[#This Row],[one-year conditional mortality AT ISSUE]]/Table13[[#This Row],[one-year conditional persistency AT ISSUE]]</f>
        <v>0.95956974547290963</v>
      </c>
      <c r="O104" s="4">
        <f>(1+$B$14)^(Table13[[#This Row],[age since issue]]-$A$17)</f>
        <v>19.943915800332377</v>
      </c>
      <c r="P104" s="5">
        <f>(Table13[[#This Row],[level premium unmarked-up]]*Table13[[#This Row],[unconditional persistency AT ISSUE]]-Table13[[#This Row],[Death benefit pay probability]])</f>
        <v>-7.0309712600340241E-6</v>
      </c>
      <c r="Q104" s="4">
        <f>Table13[[#This Row],[Issuer profit with unmarked-up level premium]]/Table13[[#This Row],[Issuer discounter at issue]]</f>
        <v>-3.5253715120061069E-7</v>
      </c>
      <c r="R104" s="4">
        <f>(Table13[[#This Row],[variable premium unmarked up]]*Table13[[#This Row],[unconditional persistency AT ISSUE]]-Table13[[#This Row],[Death benefit pay probability]])</f>
        <v>0</v>
      </c>
      <c r="S104" s="6">
        <f>Table13[[#This Row],[level premium unmarked-up]]*(1+$B$15)</f>
        <v>2.4615991981893799E-3</v>
      </c>
      <c r="T104" s="6">
        <f>MIN(Table13[[#This Row],[variable premium unmarked up]]*(1+$B$15),1)</f>
        <v>0.95956974547290963</v>
      </c>
      <c r="U104" s="6">
        <f>Table13[[#This Row],[level premium marked up]]-Table13[[#This Row],[variable premium marked up]]</f>
        <v>-0.9571081462747203</v>
      </c>
      <c r="V104" s="6">
        <f>Table13[[#This Row],[additional cash]]+V103*(1+$D$2)</f>
        <v>-10.612526330971596</v>
      </c>
      <c r="W104" s="12">
        <v>0.44951000000000002</v>
      </c>
      <c r="X104" s="13">
        <f>1-Table13[[#This Row],[one-year conditional mortality NOW]]</f>
        <v>0.55048999999999992</v>
      </c>
      <c r="Y104" s="49">
        <f>PRODUCT(X$17:X104)</f>
        <v>1.3412193594940314E-3</v>
      </c>
      <c r="Z104" s="13">
        <f>Table13[[#This Row],[one-year conditional survival NOW]]*(1-Table13[[#This Row],[Lapse rate]])</f>
        <v>0.5328743199999999</v>
      </c>
      <c r="AA104" s="13">
        <f>PRODUCT(Z$17:Z104)</f>
        <v>6.7745790848630671E-4</v>
      </c>
      <c r="AB104" s="50">
        <f>Y103*Table13[[#This Row],[one-year conditional mortality NOW]]</f>
        <v>1.0951906742832061E-3</v>
      </c>
      <c r="AC104" s="14">
        <v>1.8079999999999999E-2</v>
      </c>
      <c r="AD104" s="28">
        <f>(1+Table13[[#This Row],[Yield curve now]])^(Table13[[#This Row],[age since issue]]-$B$11)</f>
        <v>1.4568673947555448</v>
      </c>
      <c r="AE104" s="46">
        <f t="shared" si="3"/>
        <v>0.30920800835431522</v>
      </c>
      <c r="AF104" s="42">
        <f>1-Table13[[#This Row],[cumulative debt until t]]</f>
        <v>0.69079199164568483</v>
      </c>
      <c r="AG104" s="46">
        <f>Table13[[#This Row],[cumulative debt until t]]*Table13[[#This Row],[Unconditional mortality NOW]]/Table13[[#This Row],[discouter with yield curve]]</f>
        <v>2.3244512738934082E-4</v>
      </c>
      <c r="AH104" s="48">
        <f>Table13[[#This Row],[Unconditional mortality NOW]]/Table13[[#This Row],[discouter with yield curve]]</f>
        <v>7.5174355485316746E-4</v>
      </c>
      <c r="AI104" s="29">
        <f>Table13[[#This Row],[user profit (death benefit - debt)]]*Table13[[#This Row],[Unconditional mortality NOW]]/Table13[[#This Row],[discouter with yield curve]]</f>
        <v>5.1929842746382667E-4</v>
      </c>
      <c r="AJ104" s="29">
        <f>(1+$D$4)^(Table13[[#This Row],[age since issue]]-$B$11)</f>
        <v>1.2323919403474466</v>
      </c>
      <c r="AK104" s="57">
        <f>Table13[[#This Row],[level premium marked up]]*Table13[[#This Row],[unconditional survival NOW]]</f>
        <v>3.3015444999265814E-6</v>
      </c>
      <c r="AL104" s="62">
        <f>Table13[[#This Row],[cumulative debt until t]]*Table13[[#This Row],[Unconditional mortality NOW]]</f>
        <v>3.386417271633297E-4</v>
      </c>
      <c r="AM104" s="47">
        <f>Table13[[#This Row],[probablistic premium stream]]/Table13[[#This Row],[lender discounter]]</f>
        <v>2.6789728103835064E-6</v>
      </c>
      <c r="AN104" s="58">
        <f>Table13[[#This Row],[probablistic repay from borrower]]/Table13[[#This Row],[lender discounter]]</f>
        <v>2.7478411378433463E-4</v>
      </c>
      <c r="AO104" s="47">
        <f>(Table13[[#This Row],[probablistic repay from borrower]]-Table13[[#This Row],[probablistic premium stream]])/Table13[[#This Row],[lender discounter]]</f>
        <v>2.7210514097395112E-4</v>
      </c>
      <c r="AP104" s="46">
        <f>AP103*(1+$D$4)+ Table13[[#This Row],[level premium marked up]]</f>
        <v>6.0239236414709171E-2</v>
      </c>
      <c r="AQ104" s="58">
        <f>AP104*Table13[[#This Row],[Unconditional mortality NOW]]</f>
        <v>6.5973449947330805E-5</v>
      </c>
      <c r="AR104" s="60">
        <f>Table13[[#This Row],[cumulative debt until t]]*Table13[[#This Row],[Unconditional mortality NOW]]</f>
        <v>3.386417271633297E-4</v>
      </c>
      <c r="AS104" s="58">
        <f>Table13[[#This Row],[lender to pay cumulative probablistic undiscounted]]/Table13[[#This Row],[lender discounter]]</f>
        <v>5.3532847617236932E-5</v>
      </c>
    </row>
    <row r="105" spans="1:45" s="3" customFormat="1">
      <c r="A105" s="3">
        <v>109</v>
      </c>
      <c r="B105" s="8">
        <v>3.2000000000000001E-2</v>
      </c>
      <c r="C105" s="3">
        <v>0</v>
      </c>
      <c r="D105" s="12">
        <v>3.2000000000000001E-2</v>
      </c>
      <c r="E105" s="66">
        <v>0.50949</v>
      </c>
      <c r="F105" s="13">
        <f>1-Table13[[#This Row],[one-year conditional mortality AT ISSUE]]</f>
        <v>0.49051</v>
      </c>
      <c r="G105" s="13">
        <f>PRODUCT(F$17:F105)</f>
        <v>9.286499373380386E-5</v>
      </c>
      <c r="H105" s="13">
        <f>Table13[[#This Row],[one-year conditional survival AT ISSUE]]*(1-Table13[[#This Row],[Lapse rate]])</f>
        <v>0.47481367999999996</v>
      </c>
      <c r="I105" s="13">
        <f>PRODUCT(H$17:H105)</f>
        <v>3.4880084878023442E-6</v>
      </c>
      <c r="J105" s="13">
        <f>G104*Table13[[#This Row],[one-year conditional mortality AT ISSUE]]</f>
        <v>9.645835081330804E-5</v>
      </c>
      <c r="K105" s="10">
        <f>I104*Table13[[#This Row],[one-year conditional mortality AT ISSUE]]</f>
        <v>3.7427427205770833E-6</v>
      </c>
      <c r="L105" s="3">
        <f t="shared" si="1"/>
        <v>2.4615991981893799E-3</v>
      </c>
      <c r="M105" s="44">
        <f>Table13[[#This Row],[Death benefit pay probability]]/Table13[[#This Row],[unconditional persistency AT ISSUE]]</f>
        <v>1.0730314257162938</v>
      </c>
      <c r="N105" s="44">
        <f>Table13[[#This Row],[one-year conditional mortality AT ISSUE]]/Table13[[#This Row],[one-year conditional persistency AT ISSUE]]</f>
        <v>1.0730314257162936</v>
      </c>
      <c r="O105" s="4">
        <f>(1+$B$14)^(Table13[[#This Row],[age since issue]]-$A$17)</f>
        <v>20.641952853344005</v>
      </c>
      <c r="P105" s="5">
        <f>(Table13[[#This Row],[level premium unmarked-up]]*Table13[[#This Row],[unconditional persistency AT ISSUE]]-Table13[[#This Row],[Death benefit pay probability]])</f>
        <v>-3.7341566416802313E-6</v>
      </c>
      <c r="Q105" s="4">
        <f>Table13[[#This Row],[Issuer profit with unmarked-up level premium]]/Table13[[#This Row],[Issuer discounter at issue]]</f>
        <v>-1.8090132596515918E-7</v>
      </c>
      <c r="R105" s="4">
        <f>(Table13[[#This Row],[variable premium unmarked up]]*Table13[[#This Row],[unconditional persistency AT ISSUE]]-Table13[[#This Row],[Death benefit pay probability]])</f>
        <v>4.2351647362715017E-22</v>
      </c>
      <c r="S105" s="6">
        <f>Table13[[#This Row],[level premium unmarked-up]]*(1+$B$15)</f>
        <v>2.4615991981893799E-3</v>
      </c>
      <c r="T105" s="6">
        <f>MIN(Table13[[#This Row],[variable premium unmarked up]]*(1+$B$15),1)</f>
        <v>1</v>
      </c>
      <c r="U105" s="6">
        <f>Table13[[#This Row],[level premium marked up]]-Table13[[#This Row],[variable premium marked up]]</f>
        <v>-0.99753840080181067</v>
      </c>
      <c r="V105" s="6">
        <f>Table13[[#This Row],[additional cash]]+V104*(1+$D$2)</f>
        <v>-11.620677258104376</v>
      </c>
      <c r="W105" s="12">
        <v>0.46498</v>
      </c>
      <c r="X105" s="13">
        <f>1-Table13[[#This Row],[one-year conditional mortality NOW]]</f>
        <v>0.53502000000000005</v>
      </c>
      <c r="Y105" s="49">
        <f>PRODUCT(X$17:X105)</f>
        <v>7.1757918171649676E-4</v>
      </c>
      <c r="Z105" s="13">
        <f>Table13[[#This Row],[one-year conditional survival NOW]]*(1-Table13[[#This Row],[Lapse rate]])</f>
        <v>0.51789936000000003</v>
      </c>
      <c r="AA105" s="13">
        <f>PRODUCT(Z$17:Z105)</f>
        <v>3.5085501723199682E-4</v>
      </c>
      <c r="AB105" s="50">
        <f>Y104*Table13[[#This Row],[one-year conditional mortality NOW]]</f>
        <v>6.2364017777753473E-4</v>
      </c>
      <c r="AC105" s="14">
        <v>1.8259999999999998E-2</v>
      </c>
      <c r="AD105" s="28">
        <f>(1+Table13[[#This Row],[Yield curve now]])^(Table13[[#This Row],[age since issue]]-$B$11)</f>
        <v>1.4889874749095051</v>
      </c>
      <c r="AE105" s="46">
        <f t="shared" si="3"/>
        <v>0.35647380224505693</v>
      </c>
      <c r="AF105" s="42">
        <f>1-Table13[[#This Row],[cumulative debt until t]]</f>
        <v>0.64352619775494313</v>
      </c>
      <c r="AG105" s="46">
        <f>Table13[[#This Row],[cumulative debt until t]]*Table13[[#This Row],[Unconditional mortality NOW]]/Table13[[#This Row],[discouter with yield curve]]</f>
        <v>1.4930373099253388E-4</v>
      </c>
      <c r="AH105" s="48">
        <f>Table13[[#This Row],[Unconditional mortality NOW]]/Table13[[#This Row],[discouter with yield curve]]</f>
        <v>4.1883507301862104E-4</v>
      </c>
      <c r="AI105" s="29">
        <f>Table13[[#This Row],[user profit (death benefit - debt)]]*Table13[[#This Row],[Unconditional mortality NOW]]/Table13[[#This Row],[discouter with yield curve]]</f>
        <v>2.6953134202608719E-4</v>
      </c>
      <c r="AJ105" s="29">
        <f>(1+$D$4)^(Table13[[#This Row],[age since issue]]-$B$11)</f>
        <v>1.2447158597509214</v>
      </c>
      <c r="AK105" s="57">
        <f>Table13[[#This Row],[level premium marked up]]*Table13[[#This Row],[unconditional survival NOW]]</f>
        <v>1.7663923383507198E-6</v>
      </c>
      <c r="AL105" s="62">
        <f>Table13[[#This Row],[cumulative debt until t]]*Table13[[#This Row],[Unconditional mortality NOW]]</f>
        <v>2.2231138540514106E-4</v>
      </c>
      <c r="AM105" s="47">
        <f>Table13[[#This Row],[probablistic premium stream]]/Table13[[#This Row],[lender discounter]]</f>
        <v>1.4191129039716666E-6</v>
      </c>
      <c r="AN105" s="58">
        <f>Table13[[#This Row],[probablistic repay from borrower]]/Table13[[#This Row],[lender discounter]]</f>
        <v>1.786041237151325E-4</v>
      </c>
      <c r="AO105" s="47">
        <f>(Table13[[#This Row],[probablistic repay from borrower]]-Table13[[#This Row],[probablistic premium stream]])/Table13[[#This Row],[lender discounter]]</f>
        <v>1.7718501081116084E-4</v>
      </c>
      <c r="AP105" s="46">
        <f>AP104*(1+$D$4)+ Table13[[#This Row],[level premium marked up]]</f>
        <v>6.3303227977045642E-2</v>
      </c>
      <c r="AQ105" s="58">
        <f>AP105*Table13[[#This Row],[Unconditional mortality NOW]]</f>
        <v>3.9478436349496558E-5</v>
      </c>
      <c r="AR105" s="60">
        <f>Table13[[#This Row],[cumulative debt until t]]*Table13[[#This Row],[Unconditional mortality NOW]]</f>
        <v>2.2231138540514106E-4</v>
      </c>
      <c r="AS105" s="58">
        <f>Table13[[#This Row],[lender to pay cumulative probablistic undiscounted]]/Table13[[#This Row],[lender discounter]]</f>
        <v>3.1716826005090463E-5</v>
      </c>
    </row>
    <row r="106" spans="1:45" s="3" customFormat="1">
      <c r="A106" s="3">
        <v>110</v>
      </c>
      <c r="B106" s="8">
        <v>3.2000000000000001E-2</v>
      </c>
      <c r="C106" s="3">
        <v>0</v>
      </c>
      <c r="D106" s="12">
        <v>3.2000000000000001E-2</v>
      </c>
      <c r="E106" s="66">
        <v>0.53905000000000003</v>
      </c>
      <c r="F106" s="13">
        <f>1-Table13[[#This Row],[one-year conditional mortality AT ISSUE]]</f>
        <v>0.46094999999999997</v>
      </c>
      <c r="G106" s="13">
        <f>PRODUCT(F$17:F106)</f>
        <v>4.2806118861596885E-5</v>
      </c>
      <c r="H106" s="13">
        <f>Table13[[#This Row],[one-year conditional survival AT ISSUE]]*(1-Table13[[#This Row],[Lapse rate]])</f>
        <v>0.44619959999999997</v>
      </c>
      <c r="I106" s="13">
        <f>PRODUCT(H$17:H106)</f>
        <v>1.5563479920540107E-6</v>
      </c>
      <c r="J106" s="13">
        <f>G105*Table13[[#This Row],[one-year conditional mortality AT ISSUE]]</f>
        <v>5.0058874872206975E-5</v>
      </c>
      <c r="K106" s="10">
        <f>I105*Table13[[#This Row],[one-year conditional mortality AT ISSUE]]</f>
        <v>1.8802109753498537E-6</v>
      </c>
      <c r="L106" s="3">
        <f t="shared" si="1"/>
        <v>2.4615991981893799E-3</v>
      </c>
      <c r="M106" s="44">
        <f>Table13[[#This Row],[Death benefit pay probability]]/Table13[[#This Row],[unconditional persistency AT ISSUE]]</f>
        <v>1.208091625362282</v>
      </c>
      <c r="N106" s="44">
        <f>Table13[[#This Row],[one-year conditional mortality AT ISSUE]]/Table13[[#This Row],[one-year conditional persistency AT ISSUE]]</f>
        <v>1.208091625362282</v>
      </c>
      <c r="O106" s="4">
        <f>(1+$B$14)^(Table13[[#This Row],[age since issue]]-$A$17)</f>
        <v>21.364421203211045</v>
      </c>
      <c r="P106" s="5">
        <f>(Table13[[#This Row],[level premium unmarked-up]]*Table13[[#This Row],[unconditional persistency AT ISSUE]]-Table13[[#This Row],[Death benefit pay probability]])</f>
        <v>-1.8763798703805098E-6</v>
      </c>
      <c r="Q106" s="4">
        <f>Table13[[#This Row],[Issuer profit with unmarked-up level premium]]/Table13[[#This Row],[Issuer discounter at issue]]</f>
        <v>-8.7827320596847822E-8</v>
      </c>
      <c r="R106" s="4">
        <f>(Table13[[#This Row],[variable premium unmarked up]]*Table13[[#This Row],[unconditional persistency AT ISSUE]]-Table13[[#This Row],[Death benefit pay probability]])</f>
        <v>0</v>
      </c>
      <c r="S106" s="6">
        <f>Table13[[#This Row],[level premium unmarked-up]]*(1+$B$15)</f>
        <v>2.4615991981893799E-3</v>
      </c>
      <c r="T106" s="6">
        <f>MIN(Table13[[#This Row],[variable premium unmarked up]]*(1+$B$15),1)</f>
        <v>1</v>
      </c>
      <c r="U106" s="6">
        <f>Table13[[#This Row],[level premium marked up]]-Table13[[#This Row],[variable premium marked up]]</f>
        <v>-0.99753840080181067</v>
      </c>
      <c r="V106" s="6">
        <f>Table13[[#This Row],[additional cash]]+V105*(1+$D$2)</f>
        <v>-12.629836336164288</v>
      </c>
      <c r="W106" s="12">
        <v>0.47811999999999999</v>
      </c>
      <c r="X106" s="13">
        <f>1-Table13[[#This Row],[one-year conditional mortality NOW]]</f>
        <v>0.52188000000000001</v>
      </c>
      <c r="Y106" s="49">
        <f>PRODUCT(X$17:X106)</f>
        <v>3.7449022335420536E-4</v>
      </c>
      <c r="Z106" s="13">
        <f>Table13[[#This Row],[one-year conditional survival NOW]]*(1-Table13[[#This Row],[Lapse rate]])</f>
        <v>0.50517984000000005</v>
      </c>
      <c r="AA106" s="13">
        <f>PRODUCT(Z$17:Z106)</f>
        <v>1.772448814684574E-4</v>
      </c>
      <c r="AB106" s="50">
        <f>Y105*Table13[[#This Row],[one-year conditional mortality NOW]]</f>
        <v>3.430889583622914E-4</v>
      </c>
      <c r="AC106" s="14">
        <v>1.8439999999999901E-2</v>
      </c>
      <c r="AD106" s="28">
        <f>(1+Table13[[#This Row],[Yield curve now]])^(Table13[[#This Row],[age since issue]]-$B$11)</f>
        <v>1.5223527958448058</v>
      </c>
      <c r="AE106" s="46">
        <f t="shared" si="3"/>
        <v>0.41053431009077446</v>
      </c>
      <c r="AF106" s="42">
        <f>1-Table13[[#This Row],[cumulative debt until t]]</f>
        <v>0.58946568990922554</v>
      </c>
      <c r="AG106" s="46">
        <f>Table13[[#This Row],[cumulative debt until t]]*Table13[[#This Row],[Unconditional mortality NOW]]/Table13[[#This Row],[discouter with yield curve]]</f>
        <v>9.2521122045736694E-5</v>
      </c>
      <c r="AH106" s="48">
        <f>Table13[[#This Row],[Unconditional mortality NOW]]/Table13[[#This Row],[discouter with yield curve]]</f>
        <v>2.2536757530760114E-4</v>
      </c>
      <c r="AI106" s="29">
        <f>Table13[[#This Row],[user profit (death benefit - debt)]]*Table13[[#This Row],[Unconditional mortality NOW]]/Table13[[#This Row],[discouter with yield curve]]</f>
        <v>1.3284645326186445E-4</v>
      </c>
      <c r="AJ106" s="29">
        <f>(1+$D$4)^(Table13[[#This Row],[age since issue]]-$B$11)</f>
        <v>1.2571630183484304</v>
      </c>
      <c r="AK106" s="57">
        <f>Table13[[#This Row],[level premium marked up]]*Table13[[#This Row],[unconditional survival NOW]]</f>
        <v>9.2184483353847368E-7</v>
      </c>
      <c r="AL106" s="62">
        <f>Table13[[#This Row],[cumulative debt until t]]*Table13[[#This Row],[Unconditional mortality NOW]]</f>
        <v>1.4084978882102574E-4</v>
      </c>
      <c r="AM106" s="47">
        <f>Table13[[#This Row],[probablistic premium stream]]/Table13[[#This Row],[lender discounter]]</f>
        <v>7.3327390329181537E-7</v>
      </c>
      <c r="AN106" s="58">
        <f>Table13[[#This Row],[probablistic repay from borrower]]/Table13[[#This Row],[lender discounter]]</f>
        <v>1.1203780795752646E-4</v>
      </c>
      <c r="AO106" s="47">
        <f>(Table13[[#This Row],[probablistic repay from borrower]]-Table13[[#This Row],[probablistic premium stream]])/Table13[[#This Row],[lender discounter]]</f>
        <v>1.1130453405423464E-4</v>
      </c>
      <c r="AP106" s="46">
        <f>AP105*(1+$D$4)+ Table13[[#This Row],[level premium marked up]]</f>
        <v>6.6397859455005481E-2</v>
      </c>
      <c r="AQ106" s="58">
        <f>AP106*Table13[[#This Row],[Unconditional mortality NOW]]</f>
        <v>2.2780372437903653E-5</v>
      </c>
      <c r="AR106" s="60">
        <f>Table13[[#This Row],[cumulative debt until t]]*Table13[[#This Row],[Unconditional mortality NOW]]</f>
        <v>1.4084978882102574E-4</v>
      </c>
      <c r="AS106" s="58">
        <f>Table13[[#This Row],[lender to pay cumulative probablistic undiscounted]]/Table13[[#This Row],[lender discounter]]</f>
        <v>1.8120460199211759E-5</v>
      </c>
    </row>
    <row r="107" spans="1:45" s="3" customFormat="1">
      <c r="A107" s="3">
        <v>111</v>
      </c>
      <c r="B107" s="8">
        <v>3.2000000000000001E-2</v>
      </c>
      <c r="C107" s="3">
        <v>0</v>
      </c>
      <c r="D107" s="12">
        <v>3.2000000000000001E-2</v>
      </c>
      <c r="E107" s="66">
        <v>0.57030999999999998</v>
      </c>
      <c r="F107" s="13">
        <f>1-Table13[[#This Row],[one-year conditional mortality AT ISSUE]]</f>
        <v>0.42969000000000002</v>
      </c>
      <c r="G107" s="13">
        <f>PRODUCT(F$17:F107)</f>
        <v>1.8393361213639567E-5</v>
      </c>
      <c r="H107" s="13">
        <f>Table13[[#This Row],[one-year conditional survival AT ISSUE]]*(1-Table13[[#This Row],[Lapse rate]])</f>
        <v>0.41593992000000002</v>
      </c>
      <c r="I107" s="13">
        <f>PRODUCT(H$17:H107)</f>
        <v>6.4734725930710592E-7</v>
      </c>
      <c r="J107" s="13">
        <f>G106*Table13[[#This Row],[one-year conditional mortality AT ISSUE]]</f>
        <v>2.4412757647957318E-5</v>
      </c>
      <c r="K107" s="10">
        <f>I106*Table13[[#This Row],[one-year conditional mortality AT ISSUE]]</f>
        <v>8.8760082334832282E-7</v>
      </c>
      <c r="L107" s="3">
        <f t="shared" si="1"/>
        <v>2.4615991981893799E-3</v>
      </c>
      <c r="M107" s="44">
        <f>Table13[[#This Row],[Death benefit pay probability]]/Table13[[#This Row],[unconditional persistency AT ISSUE]]</f>
        <v>1.3711355236111982</v>
      </c>
      <c r="N107" s="44">
        <f>Table13[[#This Row],[one-year conditional mortality AT ISSUE]]/Table13[[#This Row],[one-year conditional persistency AT ISSUE]]</f>
        <v>1.3711355236111984</v>
      </c>
      <c r="O107" s="4">
        <f>(1+$B$14)^(Table13[[#This Row],[age since issue]]-$A$17)</f>
        <v>22.112175945323429</v>
      </c>
      <c r="P107" s="5">
        <f>(Table13[[#This Row],[level premium unmarked-up]]*Table13[[#This Row],[unconditional persistency AT ISSUE]]-Table13[[#This Row],[Death benefit pay probability]])</f>
        <v>-8.8600731385386239E-7</v>
      </c>
      <c r="Q107" s="4">
        <f>Table13[[#This Row],[Issuer profit with unmarked-up level premium]]/Table13[[#This Row],[Issuer discounter at issue]]</f>
        <v>-4.0068752891831375E-8</v>
      </c>
      <c r="R107" s="4">
        <f>(Table13[[#This Row],[variable premium unmarked up]]*Table13[[#This Row],[unconditional persistency AT ISSUE]]-Table13[[#This Row],[Death benefit pay probability]])</f>
        <v>-1.0587911840678754E-22</v>
      </c>
      <c r="S107" s="6">
        <f>Table13[[#This Row],[level premium unmarked-up]]*(1+$B$15)</f>
        <v>2.4615991981893799E-3</v>
      </c>
      <c r="T107" s="6">
        <f>MIN(Table13[[#This Row],[variable premium unmarked up]]*(1+$B$15),1)</f>
        <v>1</v>
      </c>
      <c r="U107" s="6">
        <f>Table13[[#This Row],[level premium marked up]]-Table13[[#This Row],[variable premium marked up]]</f>
        <v>-0.99753840080181067</v>
      </c>
      <c r="V107" s="6">
        <f>Table13[[#This Row],[additional cash]]+V106*(1+$D$2)</f>
        <v>-13.640004573302262</v>
      </c>
      <c r="W107" s="12">
        <v>0.48857</v>
      </c>
      <c r="X107" s="13">
        <f>1-Table13[[#This Row],[one-year conditional mortality NOW]]</f>
        <v>0.51143000000000005</v>
      </c>
      <c r="Y107" s="49">
        <f>PRODUCT(X$17:X107)</f>
        <v>1.9152553493004127E-4</v>
      </c>
      <c r="Z107" s="13">
        <f>Table13[[#This Row],[one-year conditional survival NOW]]*(1-Table13[[#This Row],[Lapse rate]])</f>
        <v>0.49506424000000004</v>
      </c>
      <c r="AA107" s="13">
        <f>PRODUCT(Z$17:Z107)</f>
        <v>8.7747602538071953E-5</v>
      </c>
      <c r="AB107" s="50">
        <f>Y106*Table13[[#This Row],[one-year conditional mortality NOW]]</f>
        <v>1.8296468842416412E-4</v>
      </c>
      <c r="AC107" s="14">
        <v>1.8619999999999901E-2</v>
      </c>
      <c r="AD107" s="28">
        <f>(1+Table13[[#This Row],[Yield curve now]])^(Table13[[#This Row],[age since issue]]-$B$11)</f>
        <v>1.5570149298194449</v>
      </c>
      <c r="AE107" s="46">
        <f t="shared" si="3"/>
        <v>0.47236630883584041</v>
      </c>
      <c r="AF107" s="42">
        <f>1-Table13[[#This Row],[cumulative debt until t]]</f>
        <v>0.52763369116415959</v>
      </c>
      <c r="AG107" s="46">
        <f>Table13[[#This Row],[cumulative debt until t]]*Table13[[#This Row],[Unconditional mortality NOW]]/Table13[[#This Row],[discouter with yield curve]]</f>
        <v>5.5507723698092104E-5</v>
      </c>
      <c r="AH107" s="48">
        <f>Table13[[#This Row],[Unconditional mortality NOW]]/Table13[[#This Row],[discouter with yield curve]]</f>
        <v>1.1750991266691394E-4</v>
      </c>
      <c r="AI107" s="29">
        <f>Table13[[#This Row],[user profit (death benefit - debt)]]*Table13[[#This Row],[Unconditional mortality NOW]]/Table13[[#This Row],[discouter with yield curve]]</f>
        <v>6.2002188968821839E-5</v>
      </c>
      <c r="AJ107" s="29">
        <f>(1+$D$4)^(Table13[[#This Row],[age since issue]]-$B$11)</f>
        <v>1.269734648531915</v>
      </c>
      <c r="AK107" s="57">
        <f>Table13[[#This Row],[level premium marked up]]*Table13[[#This Row],[unconditional survival NOW]]</f>
        <v>4.7145910321658166E-7</v>
      </c>
      <c r="AL107" s="62">
        <f>Table13[[#This Row],[cumulative debt until t]]*Table13[[#This Row],[Unconditional mortality NOW]]</f>
        <v>8.6426354518222019E-5</v>
      </c>
      <c r="AM107" s="47">
        <f>Table13[[#This Row],[probablistic premium stream]]/Table13[[#This Row],[lender discounter]]</f>
        <v>3.7130522015894365E-7</v>
      </c>
      <c r="AN107" s="58">
        <f>Table13[[#This Row],[probablistic repay from borrower]]/Table13[[#This Row],[lender discounter]]</f>
        <v>6.8066469335265742E-5</v>
      </c>
      <c r="AO107" s="47">
        <f>(Table13[[#This Row],[probablistic repay from borrower]]-Table13[[#This Row],[probablistic premium stream]])/Table13[[#This Row],[lender discounter]]</f>
        <v>6.7695164115106794E-5</v>
      </c>
      <c r="AP107" s="46">
        <f>AP106*(1+$D$4)+ Table13[[#This Row],[level premium marked up]]</f>
        <v>6.9523437247744915E-2</v>
      </c>
      <c r="AQ107" s="58">
        <f>AP107*Table13[[#This Row],[Unconditional mortality NOW]]</f>
        <v>1.2720334034210574E-5</v>
      </c>
      <c r="AR107" s="60">
        <f>Table13[[#This Row],[cumulative debt until t]]*Table13[[#This Row],[Unconditional mortality NOW]]</f>
        <v>8.6426354518222019E-5</v>
      </c>
      <c r="AS107" s="58">
        <f>Table13[[#This Row],[lender to pay cumulative probablistic undiscounted]]/Table13[[#This Row],[lender discounter]]</f>
        <v>1.0018104214859383E-5</v>
      </c>
    </row>
    <row r="108" spans="1:45" s="3" customFormat="1">
      <c r="A108" s="3">
        <v>112</v>
      </c>
      <c r="B108" s="8">
        <v>3.2000000000000001E-2</v>
      </c>
      <c r="C108" s="3">
        <v>0</v>
      </c>
      <c r="D108" s="12">
        <v>3.2000000000000001E-2</v>
      </c>
      <c r="E108" s="66">
        <v>0.60338999999999998</v>
      </c>
      <c r="F108" s="13">
        <f>1-Table13[[#This Row],[one-year conditional mortality AT ISSUE]]</f>
        <v>0.39661000000000002</v>
      </c>
      <c r="G108" s="13">
        <f>PRODUCT(F$17:F108)</f>
        <v>7.2949909909415891E-6</v>
      </c>
      <c r="H108" s="13">
        <f>Table13[[#This Row],[one-year conditional survival AT ISSUE]]*(1-Table13[[#This Row],[Lapse rate]])</f>
        <v>0.38391848000000001</v>
      </c>
      <c r="I108" s="13">
        <f>PRODUCT(H$17:H108)</f>
        <v>2.4852857582534994E-7</v>
      </c>
      <c r="J108" s="13">
        <f>G107*Table13[[#This Row],[one-year conditional mortality AT ISSUE]]</f>
        <v>1.1098370222697979E-5</v>
      </c>
      <c r="K108" s="10">
        <f>I107*Table13[[#This Row],[one-year conditional mortality AT ISSUE]]</f>
        <v>3.9060286279331462E-7</v>
      </c>
      <c r="L108" s="3">
        <f t="shared" si="1"/>
        <v>2.4615991981893799E-3</v>
      </c>
      <c r="M108" s="44">
        <f>Table13[[#This Row],[Death benefit pay probability]]/Table13[[#This Row],[unconditional persistency AT ISSUE]]</f>
        <v>1.5716617756977991</v>
      </c>
      <c r="N108" s="44">
        <f>Table13[[#This Row],[one-year conditional mortality AT ISSUE]]/Table13[[#This Row],[one-year conditional persistency AT ISSUE]]</f>
        <v>1.5716617756977991</v>
      </c>
      <c r="O108" s="4">
        <f>(1+$B$14)^(Table13[[#This Row],[age since issue]]-$A$17)</f>
        <v>22.886102103409751</v>
      </c>
      <c r="P108" s="5">
        <f>(Table13[[#This Row],[level premium unmarked-up]]*Table13[[#This Row],[unconditional persistency AT ISSUE]]-Table13[[#This Row],[Death benefit pay probability]])</f>
        <v>-3.8999108505033581E-7</v>
      </c>
      <c r="Q108" s="4">
        <f>Table13[[#This Row],[Issuer profit with unmarked-up level premium]]/Table13[[#This Row],[Issuer discounter at issue]]</f>
        <v>-1.704052019379184E-8</v>
      </c>
      <c r="R108" s="4">
        <f>(Table13[[#This Row],[variable premium unmarked up]]*Table13[[#This Row],[unconditional persistency AT ISSUE]]-Table13[[#This Row],[Death benefit pay probability]])</f>
        <v>0</v>
      </c>
      <c r="S108" s="6">
        <f>Table13[[#This Row],[level premium unmarked-up]]*(1+$B$15)</f>
        <v>2.4615991981893799E-3</v>
      </c>
      <c r="T108" s="6">
        <f>MIN(Table13[[#This Row],[variable premium unmarked up]]*(1+$B$15),1)</f>
        <v>1</v>
      </c>
      <c r="U108" s="6">
        <f>Table13[[#This Row],[level premium marked up]]-Table13[[#This Row],[variable premium marked up]]</f>
        <v>-0.99753840080181067</v>
      </c>
      <c r="V108" s="6">
        <f>Table13[[#This Row],[additional cash]]+V107*(1+$D$2)</f>
        <v>-14.651182978677372</v>
      </c>
      <c r="W108" s="12">
        <v>0.49595</v>
      </c>
      <c r="X108" s="13">
        <f>1-Table13[[#This Row],[one-year conditional mortality NOW]]</f>
        <v>0.50405</v>
      </c>
      <c r="Y108" s="49">
        <f>PRODUCT(X$17:X108)</f>
        <v>9.6538445881487307E-5</v>
      </c>
      <c r="Z108" s="13">
        <f>Table13[[#This Row],[one-year conditional survival NOW]]*(1-Table13[[#This Row],[Lapse rate]])</f>
        <v>0.48792039999999998</v>
      </c>
      <c r="AA108" s="13">
        <f>PRODUCT(Z$17:Z108)</f>
        <v>4.2813845329417079E-5</v>
      </c>
      <c r="AB108" s="50">
        <f>Y107*Table13[[#This Row],[one-year conditional mortality NOW]]</f>
        <v>9.4987089048553962E-5</v>
      </c>
      <c r="AC108" s="14">
        <v>1.87999999999999E-2</v>
      </c>
      <c r="AD108" s="28">
        <f>(1+Table13[[#This Row],[Yield curve now]])^(Table13[[#This Row],[age since issue]]-$B$11)</f>
        <v>1.5930279926828215</v>
      </c>
      <c r="AE108" s="46">
        <f t="shared" si="3"/>
        <v>0.54308699240249869</v>
      </c>
      <c r="AF108" s="42">
        <f>1-Table13[[#This Row],[cumulative debt until t]]</f>
        <v>0.45691300759750131</v>
      </c>
      <c r="AG108" s="46">
        <f>Table13[[#This Row],[cumulative debt until t]]*Table13[[#This Row],[Unconditional mortality NOW]]/Table13[[#This Row],[discouter with yield curve]]</f>
        <v>3.2382514774000291E-5</v>
      </c>
      <c r="AH108" s="48">
        <f>Table13[[#This Row],[Unconditional mortality NOW]]/Table13[[#This Row],[discouter with yield curve]]</f>
        <v>5.9626754510814356E-5</v>
      </c>
      <c r="AI108" s="29">
        <f>Table13[[#This Row],[user profit (death benefit - debt)]]*Table13[[#This Row],[Unconditional mortality NOW]]/Table13[[#This Row],[discouter with yield curve]]</f>
        <v>2.7244239736814065E-5</v>
      </c>
      <c r="AJ108" s="29">
        <f>(1+$D$4)^(Table13[[#This Row],[age since issue]]-$B$11)</f>
        <v>1.2824319950172343</v>
      </c>
      <c r="AK108" s="57">
        <f>Table13[[#This Row],[level premium marked up]]*Table13[[#This Row],[unconditional survival NOW]]</f>
        <v>2.3763896097631801E-7</v>
      </c>
      <c r="AL108" s="62">
        <f>Table13[[#This Row],[cumulative debt until t]]*Table13[[#This Row],[Unconditional mortality NOW]]</f>
        <v>5.1586252508447491E-5</v>
      </c>
      <c r="AM108" s="47">
        <f>Table13[[#This Row],[probablistic premium stream]]/Table13[[#This Row],[lender discounter]]</f>
        <v>1.8530336259516393E-7</v>
      </c>
      <c r="AN108" s="58">
        <f>Table13[[#This Row],[probablistic repay from borrower]]/Table13[[#This Row],[lender discounter]]</f>
        <v>4.0225331798396248E-5</v>
      </c>
      <c r="AO108" s="47">
        <f>(Table13[[#This Row],[probablistic repay from borrower]]-Table13[[#This Row],[probablistic premium stream]])/Table13[[#This Row],[lender discounter]]</f>
        <v>4.0040028435801087E-5</v>
      </c>
      <c r="AP108" s="46">
        <f>AP107*(1+$D$4)+ Table13[[#This Row],[level premium marked up]]</f>
        <v>7.2680270818411746E-2</v>
      </c>
      <c r="AQ108" s="58">
        <f>AP108*Table13[[#This Row],[Unconditional mortality NOW]]</f>
        <v>6.9036873563014945E-6</v>
      </c>
      <c r="AR108" s="60">
        <f>Table13[[#This Row],[cumulative debt until t]]*Table13[[#This Row],[Unconditional mortality NOW]]</f>
        <v>5.1586252508447491E-5</v>
      </c>
      <c r="AS108" s="58">
        <f>Table13[[#This Row],[lender to pay cumulative probablistic undiscounted]]/Table13[[#This Row],[lender discounter]]</f>
        <v>5.3832775407390846E-6</v>
      </c>
    </row>
    <row r="109" spans="1:45" s="3" customFormat="1">
      <c r="A109" s="3">
        <v>113</v>
      </c>
      <c r="B109" s="8">
        <v>3.2000000000000001E-2</v>
      </c>
      <c r="C109" s="3">
        <v>0</v>
      </c>
      <c r="D109" s="12">
        <v>3.2000000000000001E-2</v>
      </c>
      <c r="E109" s="66">
        <v>0.63837999999999995</v>
      </c>
      <c r="F109" s="13">
        <f>1-Table13[[#This Row],[one-year conditional mortality AT ISSUE]]</f>
        <v>0.36162000000000005</v>
      </c>
      <c r="G109" s="13">
        <f>PRODUCT(F$17:F109)</f>
        <v>2.6380146421442979E-6</v>
      </c>
      <c r="H109" s="13">
        <f>Table13[[#This Row],[one-year conditional survival AT ISSUE]]*(1-Table13[[#This Row],[Lapse rate]])</f>
        <v>0.35004816000000005</v>
      </c>
      <c r="I109" s="13">
        <f>PRODUCT(H$17:H109)</f>
        <v>8.6996970675084245E-8</v>
      </c>
      <c r="J109" s="13">
        <f>G108*Table13[[#This Row],[one-year conditional mortality AT ISSUE]]</f>
        <v>4.6569763487972916E-6</v>
      </c>
      <c r="K109" s="10">
        <f>I108*Table13[[#This Row],[one-year conditional mortality AT ISSUE]]</f>
        <v>1.5865567223538687E-7</v>
      </c>
      <c r="L109" s="3">
        <f t="shared" si="1"/>
        <v>2.4615991981893799E-3</v>
      </c>
      <c r="M109" s="44">
        <f>Table13[[#This Row],[Death benefit pay probability]]/Table13[[#This Row],[unconditional persistency AT ISSUE]]</f>
        <v>1.8236919171350587</v>
      </c>
      <c r="N109" s="44">
        <f>Table13[[#This Row],[one-year conditional mortality AT ISSUE]]/Table13[[#This Row],[one-year conditional persistency AT ISSUE]]</f>
        <v>1.823691917135059</v>
      </c>
      <c r="O109" s="4">
        <f>(1+$B$14)^(Table13[[#This Row],[age since issue]]-$A$17)</f>
        <v>23.687115677029091</v>
      </c>
      <c r="P109" s="5">
        <f>(Table13[[#This Row],[level premium unmarked-up]]*Table13[[#This Row],[unconditional persistency AT ISSUE]]-Table13[[#This Row],[Death benefit pay probability]])</f>
        <v>-1.5844152056212819E-7</v>
      </c>
      <c r="Q109" s="4">
        <f>Table13[[#This Row],[Issuer profit with unmarked-up level premium]]/Table13[[#This Row],[Issuer discounter at issue]]</f>
        <v>-6.6889326130905439E-9</v>
      </c>
      <c r="R109" s="4">
        <f>(Table13[[#This Row],[variable premium unmarked up]]*Table13[[#This Row],[unconditional persistency AT ISSUE]]-Table13[[#This Row],[Death benefit pay probability]])</f>
        <v>0</v>
      </c>
      <c r="S109" s="6">
        <f>Table13[[#This Row],[level premium unmarked-up]]*(1+$B$15)</f>
        <v>2.4615991981893799E-3</v>
      </c>
      <c r="T109" s="6">
        <f>MIN(Table13[[#This Row],[variable premium unmarked up]]*(1+$B$15),1)</f>
        <v>1</v>
      </c>
      <c r="U109" s="6">
        <f>Table13[[#This Row],[level premium marked up]]-Table13[[#This Row],[variable premium marked up]]</f>
        <v>-0.99753840080181067</v>
      </c>
      <c r="V109" s="6">
        <f>Table13[[#This Row],[additional cash]]+V108*(1+$D$2)</f>
        <v>-15.663372562457859</v>
      </c>
      <c r="W109" s="12">
        <v>0.5</v>
      </c>
      <c r="X109" s="13">
        <f>1-Table13[[#This Row],[one-year conditional mortality NOW]]</f>
        <v>0.5</v>
      </c>
      <c r="Y109" s="49">
        <f>PRODUCT(X$17:X109)</f>
        <v>4.8269222940743653E-5</v>
      </c>
      <c r="Z109" s="13">
        <f>Table13[[#This Row],[one-year conditional survival NOW]]*(1-Table13[[#This Row],[Lapse rate]])</f>
        <v>0.48399999999999999</v>
      </c>
      <c r="AA109" s="13">
        <f>PRODUCT(Z$17:Z109)</f>
        <v>2.0721901139437868E-5</v>
      </c>
      <c r="AB109" s="50">
        <f>Y108*Table13[[#This Row],[one-year conditional mortality NOW]]</f>
        <v>4.8269222940743653E-5</v>
      </c>
      <c r="AC109" s="14">
        <v>1.898E-2</v>
      </c>
      <c r="AD109" s="28">
        <f>(1+Table13[[#This Row],[Yield curve now]])^(Table13[[#This Row],[age since issue]]-$B$11)</f>
        <v>1.6304487782887955</v>
      </c>
      <c r="AE109" s="46">
        <f t="shared" si="3"/>
        <v>0.62397415739220408</v>
      </c>
      <c r="AF109" s="42">
        <f>1-Table13[[#This Row],[cumulative debt until t]]</f>
        <v>0.37602584260779592</v>
      </c>
      <c r="AG109" s="46">
        <f>Table13[[#This Row],[cumulative debt until t]]*Table13[[#This Row],[Unconditional mortality NOW]]/Table13[[#This Row],[discouter with yield curve]]</f>
        <v>1.8472673360544015E-5</v>
      </c>
      <c r="AH109" s="48">
        <f>Table13[[#This Row],[Unconditional mortality NOW]]/Table13[[#This Row],[discouter with yield curve]]</f>
        <v>2.9604869274951181E-5</v>
      </c>
      <c r="AI109" s="29">
        <f>Table13[[#This Row],[user profit (death benefit - debt)]]*Table13[[#This Row],[Unconditional mortality NOW]]/Table13[[#This Row],[discouter with yield curve]]</f>
        <v>1.1132195914407165E-5</v>
      </c>
      <c r="AJ109" s="29">
        <f>(1+$D$4)^(Table13[[#This Row],[age since issue]]-$B$11)</f>
        <v>1.2952563149674066</v>
      </c>
      <c r="AK109" s="57">
        <f>Table13[[#This Row],[level premium marked up]]*Table13[[#This Row],[unconditional survival NOW]]</f>
        <v>1.18819480488159E-7</v>
      </c>
      <c r="AL109" s="62">
        <f>Table13[[#This Row],[cumulative debt until t]]*Table13[[#This Row],[Unconditional mortality NOW]]</f>
        <v>3.0118747712426969E-5</v>
      </c>
      <c r="AM109" s="47">
        <f>Table13[[#This Row],[probablistic premium stream]]/Table13[[#This Row],[lender discounter]]</f>
        <v>9.1734337918397985E-8</v>
      </c>
      <c r="AN109" s="58">
        <f>Table13[[#This Row],[probablistic repay from borrower]]/Table13[[#This Row],[lender discounter]]</f>
        <v>2.3253117830338367E-5</v>
      </c>
      <c r="AO109" s="47">
        <f>(Table13[[#This Row],[probablistic repay from borrower]]-Table13[[#This Row],[probablistic premium stream]])/Table13[[#This Row],[lender discounter]]</f>
        <v>2.316138349241997E-5</v>
      </c>
      <c r="AP109" s="46">
        <f>AP108*(1+$D$4)+ Table13[[#This Row],[level premium marked up]]</f>
        <v>7.5868672724785244E-2</v>
      </c>
      <c r="AQ109" s="58">
        <f>AP109*Table13[[#This Row],[Unconditional mortality NOW]]</f>
        <v>3.662121877970976E-6</v>
      </c>
      <c r="AR109" s="60">
        <f>Table13[[#This Row],[cumulative debt until t]]*Table13[[#This Row],[Unconditional mortality NOW]]</f>
        <v>3.0118747712426969E-5</v>
      </c>
      <c r="AS109" s="58">
        <f>Table13[[#This Row],[lender to pay cumulative probablistic undiscounted]]/Table13[[#This Row],[lender discounter]]</f>
        <v>2.8273337374642553E-6</v>
      </c>
    </row>
    <row r="110" spans="1:45" s="3" customFormat="1">
      <c r="A110" s="3">
        <v>114</v>
      </c>
      <c r="B110" s="8">
        <v>3.2000000000000001E-2</v>
      </c>
      <c r="C110" s="3">
        <v>0</v>
      </c>
      <c r="D110" s="12">
        <v>3.2000000000000001E-2</v>
      </c>
      <c r="E110" s="66">
        <v>0.67540999999999995</v>
      </c>
      <c r="F110" s="13">
        <f>1-Table13[[#This Row],[one-year conditional mortality AT ISSUE]]</f>
        <v>0.32459000000000005</v>
      </c>
      <c r="G110" s="13">
        <f>PRODUCT(F$17:F110)</f>
        <v>8.5627317269361775E-7</v>
      </c>
      <c r="H110" s="13">
        <f>Table13[[#This Row],[one-year conditional survival AT ISSUE]]*(1-Table13[[#This Row],[Lapse rate]])</f>
        <v>0.31420312000000006</v>
      </c>
      <c r="I110" s="13">
        <f>PRODUCT(H$17:H110)</f>
        <v>2.733471961665998E-8</v>
      </c>
      <c r="J110" s="13">
        <f>G109*Table13[[#This Row],[one-year conditional mortality AT ISSUE]]</f>
        <v>1.7817414694506802E-6</v>
      </c>
      <c r="K110" s="10">
        <f>I109*Table13[[#This Row],[one-year conditional mortality AT ISSUE]]</f>
        <v>5.8758623963658643E-8</v>
      </c>
      <c r="L110" s="3">
        <f t="shared" si="1"/>
        <v>2.4615991981893799E-3</v>
      </c>
      <c r="M110" s="44">
        <f>Table13[[#This Row],[Death benefit pay probability]]/Table13[[#This Row],[unconditional persistency AT ISSUE]]</f>
        <v>2.1495967322030407</v>
      </c>
      <c r="N110" s="44">
        <f>Table13[[#This Row],[one-year conditional mortality AT ISSUE]]/Table13[[#This Row],[one-year conditional persistency AT ISSUE]]</f>
        <v>2.1495967322030407</v>
      </c>
      <c r="O110" s="4">
        <f>(1+$B$14)^(Table13[[#This Row],[age since issue]]-$A$17)</f>
        <v>24.516164725725105</v>
      </c>
      <c r="P110" s="5">
        <f>(Table13[[#This Row],[level premium unmarked-up]]*Table13[[#This Row],[unconditional persistency AT ISSUE]]-Table13[[#This Row],[Death benefit pay probability]])</f>
        <v>-5.8691336839767542E-8</v>
      </c>
      <c r="Q110" s="4">
        <f>Table13[[#This Row],[Issuer profit with unmarked-up level premium]]/Table13[[#This Row],[Issuer discounter at issue]]</f>
        <v>-2.3939852540712465E-9</v>
      </c>
      <c r="R110" s="4">
        <f>(Table13[[#This Row],[variable premium unmarked up]]*Table13[[#This Row],[unconditional persistency AT ISSUE]]-Table13[[#This Row],[Death benefit pay probability]])</f>
        <v>0</v>
      </c>
      <c r="S110" s="6">
        <f>Table13[[#This Row],[level premium unmarked-up]]*(1+$B$15)</f>
        <v>2.4615991981893799E-3</v>
      </c>
      <c r="T110" s="6">
        <f>MIN(Table13[[#This Row],[variable premium unmarked up]]*(1+$B$15),1)</f>
        <v>1</v>
      </c>
      <c r="U110" s="6">
        <f>Table13[[#This Row],[level premium marked up]]-Table13[[#This Row],[variable premium marked up]]</f>
        <v>-0.99753840080181067</v>
      </c>
      <c r="V110" s="6">
        <f>Table13[[#This Row],[additional cash]]+V109*(1+$D$2)</f>
        <v>-16.676574335822124</v>
      </c>
      <c r="W110" s="12">
        <v>0.5</v>
      </c>
      <c r="X110" s="13">
        <f>1-Table13[[#This Row],[one-year conditional mortality NOW]]</f>
        <v>0.5</v>
      </c>
      <c r="Y110" s="49">
        <f>PRODUCT(X$17:X110)</f>
        <v>2.4134611470371827E-5</v>
      </c>
      <c r="Z110" s="13">
        <f>Table13[[#This Row],[one-year conditional survival NOW]]*(1-Table13[[#This Row],[Lapse rate]])</f>
        <v>0.48399999999999999</v>
      </c>
      <c r="AA110" s="13">
        <f>PRODUCT(Z$17:Z110)</f>
        <v>1.0029400151487927E-5</v>
      </c>
      <c r="AB110" s="50">
        <f>Y109*Table13[[#This Row],[one-year conditional mortality NOW]]</f>
        <v>2.4134611470371827E-5</v>
      </c>
      <c r="AC110" s="14">
        <v>1.916E-2</v>
      </c>
      <c r="AD110" s="28">
        <f>(1+Table13[[#This Row],[Yield curve now]])^(Table13[[#This Row],[age since issue]]-$B$11)</f>
        <v>1.66933690071985</v>
      </c>
      <c r="AE110" s="46">
        <f t="shared" si="3"/>
        <v>0.7164892905908945</v>
      </c>
      <c r="AF110" s="42">
        <f>1-Table13[[#This Row],[cumulative debt until t]]</f>
        <v>0.2835107094091055</v>
      </c>
      <c r="AG110" s="46">
        <f>Table13[[#This Row],[cumulative debt until t]]*Table13[[#This Row],[Unconditional mortality NOW]]/Table13[[#This Row],[discouter with yield curve]]</f>
        <v>1.0358718269294145E-5</v>
      </c>
      <c r="AH110" s="48">
        <f>Table13[[#This Row],[Unconditional mortality NOW]]/Table13[[#This Row],[discouter with yield curve]]</f>
        <v>1.4457603770673566E-5</v>
      </c>
      <c r="AI110" s="29">
        <f>Table13[[#This Row],[user profit (death benefit - debt)]]*Table13[[#This Row],[Unconditional mortality NOW]]/Table13[[#This Row],[discouter with yield curve]]</f>
        <v>4.0988855013794213E-6</v>
      </c>
      <c r="AJ110" s="29">
        <f>(1+$D$4)^(Table13[[#This Row],[age since issue]]-$B$11)</f>
        <v>1.3082088781170802</v>
      </c>
      <c r="AK110" s="57">
        <f>Table13[[#This Row],[level premium marked up]]*Table13[[#This Row],[unconditional survival NOW]]</f>
        <v>5.9409740244079502E-8</v>
      </c>
      <c r="AL110" s="62">
        <f>Table13[[#This Row],[cumulative debt until t]]*Table13[[#This Row],[Unconditional mortality NOW]]</f>
        <v>1.7292190651093575E-5</v>
      </c>
      <c r="AM110" s="47">
        <f>Table13[[#This Row],[probablistic premium stream]]/Table13[[#This Row],[lender discounter]]</f>
        <v>4.5413038573464364E-8</v>
      </c>
      <c r="AN110" s="58">
        <f>Table13[[#This Row],[probablistic repay from borrower]]/Table13[[#This Row],[lender discounter]]</f>
        <v>1.3218218390309673E-5</v>
      </c>
      <c r="AO110" s="47">
        <f>(Table13[[#This Row],[probablistic repay from borrower]]-Table13[[#This Row],[probablistic premium stream]])/Table13[[#This Row],[lender discounter]]</f>
        <v>1.3172805351736207E-5</v>
      </c>
      <c r="AP110" s="46">
        <f>AP109*(1+$D$4)+ Table13[[#This Row],[level premium marked up]]</f>
        <v>7.9088958650222474E-2</v>
      </c>
      <c r="AQ110" s="58">
        <f>AP110*Table13[[#This Row],[Unconditional mortality NOW]]</f>
        <v>1.9087812886194226E-6</v>
      </c>
      <c r="AR110" s="60">
        <f>Table13[[#This Row],[cumulative debt until t]]*Table13[[#This Row],[Unconditional mortality NOW]]</f>
        <v>1.7292190651093575E-5</v>
      </c>
      <c r="AS110" s="58">
        <f>Table13[[#This Row],[lender to pay cumulative probablistic undiscounted]]/Table13[[#This Row],[lender discounter]]</f>
        <v>1.4590799073055925E-6</v>
      </c>
    </row>
    <row r="111" spans="1:45" s="3" customFormat="1">
      <c r="A111" s="3">
        <v>115</v>
      </c>
      <c r="B111" s="8">
        <v>3.2000000000000001E-2</v>
      </c>
      <c r="C111" s="3">
        <v>0</v>
      </c>
      <c r="D111" s="12">
        <v>3.2000000000000001E-2</v>
      </c>
      <c r="E111" s="66">
        <v>0.71457999999999999</v>
      </c>
      <c r="F111" s="13">
        <f>1-Table13[[#This Row],[one-year conditional mortality AT ISSUE]]</f>
        <v>0.28542000000000001</v>
      </c>
      <c r="G111" s="13">
        <f>PRODUCT(F$17:F111)</f>
        <v>2.443974889502124E-7</v>
      </c>
      <c r="H111" s="13">
        <f>Table13[[#This Row],[one-year conditional survival AT ISSUE]]*(1-Table13[[#This Row],[Lapse rate]])</f>
        <v>0.27628656000000001</v>
      </c>
      <c r="I111" s="13">
        <f>PRODUCT(H$17:H111)</f>
        <v>7.5522156514515056E-9</v>
      </c>
      <c r="J111" s="13">
        <f>G110*Table13[[#This Row],[one-year conditional mortality AT ISSUE]]</f>
        <v>6.1187568374340536E-7</v>
      </c>
      <c r="K111" s="10">
        <f>I110*Table13[[#This Row],[one-year conditional mortality AT ISSUE]]</f>
        <v>1.9532843943672888E-8</v>
      </c>
      <c r="L111" s="3">
        <f t="shared" si="1"/>
        <v>2.4615991981893799E-3</v>
      </c>
      <c r="M111" s="44">
        <f>Table13[[#This Row],[Death benefit pay probability]]/Table13[[#This Row],[unconditional persistency AT ISSUE]]</f>
        <v>2.5863726415067019</v>
      </c>
      <c r="N111" s="44">
        <f>Table13[[#This Row],[one-year conditional mortality AT ISSUE]]/Table13[[#This Row],[one-year conditional persistency AT ISSUE]]</f>
        <v>2.5863726415067023</v>
      </c>
      <c r="O111" s="4">
        <f>(1+$B$14)^(Table13[[#This Row],[age since issue]]-$A$17)</f>
        <v>25.374230491125484</v>
      </c>
      <c r="P111" s="5">
        <f>(Table13[[#This Row],[level premium unmarked-up]]*Table13[[#This Row],[unconditional persistency AT ISSUE]]-Table13[[#This Row],[Death benefit pay probability]])</f>
        <v>-1.9514253415680721E-8</v>
      </c>
      <c r="Q111" s="4">
        <f>Table13[[#This Row],[Issuer profit with unmarked-up level premium]]/Table13[[#This Row],[Issuer discounter at issue]]</f>
        <v>-7.6905793941241831E-10</v>
      </c>
      <c r="R111" s="4">
        <f>(Table13[[#This Row],[variable premium unmarked up]]*Table13[[#This Row],[unconditional persistency AT ISSUE]]-Table13[[#This Row],[Death benefit pay probability]])</f>
        <v>0</v>
      </c>
      <c r="S111" s="6">
        <f>Table13[[#This Row],[level premium unmarked-up]]*(1+$B$15)</f>
        <v>2.4615991981893799E-3</v>
      </c>
      <c r="T111" s="6">
        <f>MIN(Table13[[#This Row],[variable premium unmarked up]]*(1+$B$15),1)</f>
        <v>1</v>
      </c>
      <c r="U111" s="6">
        <f>Table13[[#This Row],[level premium marked up]]-Table13[[#This Row],[variable premium marked up]]</f>
        <v>-0.99753840080181067</v>
      </c>
      <c r="V111" s="6">
        <f>Table13[[#This Row],[additional cash]]+V110*(1+$D$2)</f>
        <v>-17.690789310959758</v>
      </c>
      <c r="W111" s="12">
        <v>0.5</v>
      </c>
      <c r="X111" s="13">
        <f>1-Table13[[#This Row],[one-year conditional mortality NOW]]</f>
        <v>0.5</v>
      </c>
      <c r="Y111" s="49">
        <f>PRODUCT(X$17:X111)</f>
        <v>1.2067305735185913E-5</v>
      </c>
      <c r="Z111" s="13">
        <f>Table13[[#This Row],[one-year conditional survival NOW]]*(1-Table13[[#This Row],[Lapse rate]])</f>
        <v>0.48399999999999999</v>
      </c>
      <c r="AA111" s="13">
        <f>PRODUCT(Z$17:Z111)</f>
        <v>4.8542296733201569E-6</v>
      </c>
      <c r="AB111" s="50">
        <f>Y110*Table13[[#This Row],[one-year conditional mortality NOW]]</f>
        <v>1.2067305735185913E-5</v>
      </c>
      <c r="AC111" s="14">
        <v>1.934E-2</v>
      </c>
      <c r="AD111" s="28">
        <f>(1+Table13[[#This Row],[Yield curve now]])^(Table13[[#This Row],[age since issue]]-$B$11)</f>
        <v>1.7097549448036504</v>
      </c>
      <c r="AE111" s="46">
        <f t="shared" si="3"/>
        <v>0.82230397542823241</v>
      </c>
      <c r="AF111" s="42">
        <f>1-Table13[[#This Row],[cumulative debt until t]]</f>
        <v>0.17769602457176759</v>
      </c>
      <c r="AG111" s="46">
        <f>Table13[[#This Row],[cumulative debt until t]]*Table13[[#This Row],[Unconditional mortality NOW]]/Table13[[#This Row],[discouter with yield curve]]</f>
        <v>5.803751882051641E-6</v>
      </c>
      <c r="AH111" s="48">
        <f>Table13[[#This Row],[Unconditional mortality NOW]]/Table13[[#This Row],[discouter with yield curve]]</f>
        <v>7.05791538832001E-6</v>
      </c>
      <c r="AI111" s="29">
        <f>Table13[[#This Row],[user profit (death benefit - debt)]]*Table13[[#This Row],[Unconditional mortality NOW]]/Table13[[#This Row],[discouter with yield curve]]</f>
        <v>1.254163506268369E-6</v>
      </c>
      <c r="AJ111" s="29">
        <f>(1+$D$4)^(Table13[[#This Row],[age since issue]]-$B$11)</f>
        <v>1.3212909668982511</v>
      </c>
      <c r="AK111" s="57">
        <f>Table13[[#This Row],[level premium marked up]]*Table13[[#This Row],[unconditional survival NOW]]</f>
        <v>2.9704870122039751E-8</v>
      </c>
      <c r="AL111" s="62">
        <f>Table13[[#This Row],[cumulative debt until t]]*Table13[[#This Row],[Unconditional mortality NOW]]</f>
        <v>9.922993478751286E-6</v>
      </c>
      <c r="AM111" s="47">
        <f>Table13[[#This Row],[probablistic premium stream]]/Table13[[#This Row],[lender discounter]]</f>
        <v>2.2481702264091268E-8</v>
      </c>
      <c r="AN111" s="58">
        <f>Table13[[#This Row],[probablistic repay from borrower]]/Table13[[#This Row],[lender discounter]]</f>
        <v>7.5100744100640082E-6</v>
      </c>
      <c r="AO111" s="47">
        <f>(Table13[[#This Row],[probablistic repay from borrower]]-Table13[[#This Row],[probablistic premium stream]])/Table13[[#This Row],[lender discounter]]</f>
        <v>7.4875927077999159E-6</v>
      </c>
      <c r="AP111" s="46">
        <f>AP110*(1+$D$4)+ Table13[[#This Row],[level premium marked up]]</f>
        <v>8.2341447434914075E-2</v>
      </c>
      <c r="AQ111" s="58">
        <f>AP111*Table13[[#This Row],[Unconditional mortality NOW]]</f>
        <v>9.9363942087484798E-7</v>
      </c>
      <c r="AR111" s="60">
        <f>Table13[[#This Row],[cumulative debt until t]]*Table13[[#This Row],[Unconditional mortality NOW]]</f>
        <v>9.922993478751286E-6</v>
      </c>
      <c r="AS111" s="58">
        <f>Table13[[#This Row],[lender to pay cumulative probablistic undiscounted]]/Table13[[#This Row],[lender discounter]]</f>
        <v>7.5202165591688739E-7</v>
      </c>
    </row>
    <row r="112" spans="1:45" s="3" customFormat="1">
      <c r="A112" s="3">
        <v>116</v>
      </c>
      <c r="B112" s="8">
        <v>3.2000000000000001E-2</v>
      </c>
      <c r="C112" s="3">
        <v>0</v>
      </c>
      <c r="D112" s="12">
        <v>3.2000000000000001E-2</v>
      </c>
      <c r="E112" s="66">
        <v>0.75602999999999998</v>
      </c>
      <c r="F112" s="13">
        <f>1-Table13[[#This Row],[one-year conditional mortality AT ISSUE]]</f>
        <v>0.24397000000000002</v>
      </c>
      <c r="G112" s="13">
        <f>PRODUCT(F$17:F112)</f>
        <v>5.9625655379183325E-8</v>
      </c>
      <c r="H112" s="13">
        <f>Table13[[#This Row],[one-year conditional survival AT ISSUE]]*(1-Table13[[#This Row],[Lapse rate]])</f>
        <v>0.23616296000000001</v>
      </c>
      <c r="I112" s="13">
        <f>PRODUCT(H$17:H112)</f>
        <v>1.7835536028051159E-9</v>
      </c>
      <c r="J112" s="13">
        <f>G111*Table13[[#This Row],[one-year conditional mortality AT ISSUE]]</f>
        <v>1.8477183357102907E-7</v>
      </c>
      <c r="K112" s="10">
        <f>I111*Table13[[#This Row],[one-year conditional mortality AT ISSUE]]</f>
        <v>5.7097015989668815E-9</v>
      </c>
      <c r="L112" s="3">
        <f t="shared" si="1"/>
        <v>2.4615991981893799E-3</v>
      </c>
      <c r="M112" s="44">
        <f>Table13[[#This Row],[Death benefit pay probability]]/Table13[[#This Row],[unconditional persistency AT ISSUE]]</f>
        <v>3.2013064199398582</v>
      </c>
      <c r="N112" s="44">
        <f>Table13[[#This Row],[one-year conditional mortality AT ISSUE]]/Table13[[#This Row],[one-year conditional persistency AT ISSUE]]</f>
        <v>3.2013064199398582</v>
      </c>
      <c r="O112" s="4">
        <f>(1+$B$14)^(Table13[[#This Row],[age since issue]]-$A$17)</f>
        <v>26.262328558314874</v>
      </c>
      <c r="P112" s="5">
        <f>(Table13[[#This Row],[level premium unmarked-up]]*Table13[[#This Row],[unconditional persistency AT ISSUE]]-Table13[[#This Row],[Death benefit pay probability]])</f>
        <v>-5.7053112048482888E-9</v>
      </c>
      <c r="Q112" s="4">
        <f>Table13[[#This Row],[Issuer profit with unmarked-up level premium]]/Table13[[#This Row],[Issuer discounter at issue]]</f>
        <v>-2.1724315847240206E-10</v>
      </c>
      <c r="R112" s="4">
        <f>(Table13[[#This Row],[variable premium unmarked up]]*Table13[[#This Row],[unconditional persistency AT ISSUE]]-Table13[[#This Row],[Death benefit pay probability]])</f>
        <v>0</v>
      </c>
      <c r="S112" s="6">
        <f>Table13[[#This Row],[level premium unmarked-up]]*(1+$B$15)</f>
        <v>2.4615991981893799E-3</v>
      </c>
      <c r="T112" s="6">
        <f>MIN(Table13[[#This Row],[variable premium unmarked up]]*(1+$B$15),1)</f>
        <v>1</v>
      </c>
      <c r="U112" s="6">
        <f>Table13[[#This Row],[level premium marked up]]-Table13[[#This Row],[variable premium marked up]]</f>
        <v>-0.99753840080181067</v>
      </c>
      <c r="V112" s="6">
        <f>Table13[[#This Row],[additional cash]]+V111*(1+$D$2)</f>
        <v>-18.706018501072528</v>
      </c>
      <c r="W112" s="12">
        <v>0.5</v>
      </c>
      <c r="X112" s="13">
        <f>1-Table13[[#This Row],[one-year conditional mortality NOW]]</f>
        <v>0.5</v>
      </c>
      <c r="Y112" s="49">
        <f>PRODUCT(X$17:X112)</f>
        <v>6.0336528675929567E-6</v>
      </c>
      <c r="Z112" s="13">
        <f>Table13[[#This Row],[one-year conditional survival NOW]]*(1-Table13[[#This Row],[Lapse rate]])</f>
        <v>0.48399999999999999</v>
      </c>
      <c r="AA112" s="13">
        <f>PRODUCT(Z$17:Z112)</f>
        <v>2.3494471618869559E-6</v>
      </c>
      <c r="AB112" s="50">
        <f>Y111*Table13[[#This Row],[one-year conditional mortality NOW]]</f>
        <v>6.0336528675929567E-6</v>
      </c>
      <c r="AC112" s="14">
        <v>1.9519999999999999E-2</v>
      </c>
      <c r="AD112" s="28">
        <f>(1+Table13[[#This Row],[Yield curve now]])^(Table13[[#This Row],[age since issue]]-$B$11)</f>
        <v>1.7517686254350771</v>
      </c>
      <c r="AE112" s="46">
        <f t="shared" si="3"/>
        <v>0.94333009450843108</v>
      </c>
      <c r="AF112" s="42">
        <f>1-Table13[[#This Row],[cumulative debt until t]]</f>
        <v>5.6669905491568917E-2</v>
      </c>
      <c r="AG112" s="46">
        <f>Table13[[#This Row],[cumulative debt until t]]*Table13[[#This Row],[Unconditional mortality NOW]]/Table13[[#This Row],[discouter with yield curve]]</f>
        <v>3.2491313334281849E-6</v>
      </c>
      <c r="AH112" s="48">
        <f>Table13[[#This Row],[Unconditional mortality NOW]]/Table13[[#This Row],[discouter with yield curve]]</f>
        <v>3.444320659695804E-6</v>
      </c>
      <c r="AI112" s="29">
        <f>Table13[[#This Row],[user profit (death benefit - debt)]]*Table13[[#This Row],[Unconditional mortality NOW]]/Table13[[#This Row],[discouter with yield curve]]</f>
        <v>1.9518932626761954E-7</v>
      </c>
      <c r="AJ112" s="29">
        <f>(1+$D$4)^(Table13[[#This Row],[age since issue]]-$B$11)</f>
        <v>1.3345038765672337</v>
      </c>
      <c r="AK112" s="57">
        <f>Table13[[#This Row],[level premium marked up]]*Table13[[#This Row],[unconditional survival NOW]]</f>
        <v>1.4852435061019876E-8</v>
      </c>
      <c r="AL112" s="62">
        <f>Table13[[#This Row],[cumulative debt until t]]*Table13[[#This Row],[Unconditional mortality NOW]]</f>
        <v>5.6917263298175301E-6</v>
      </c>
      <c r="AM112" s="47">
        <f>Table13[[#This Row],[probablistic premium stream]]/Table13[[#This Row],[lender discounter]]</f>
        <v>1.1129555576282805E-8</v>
      </c>
      <c r="AN112" s="58">
        <f>Table13[[#This Row],[probablistic repay from borrower]]/Table13[[#This Row],[lender discounter]]</f>
        <v>4.265050427922661E-6</v>
      </c>
      <c r="AO112" s="47">
        <f>(Table13[[#This Row],[probablistic repay from borrower]]-Table13[[#This Row],[probablistic premium stream]])/Table13[[#This Row],[lender discounter]]</f>
        <v>4.2539208723463784E-6</v>
      </c>
      <c r="AP112" s="46">
        <f>AP111*(1+$D$4)+ Table13[[#This Row],[level premium marked up]]</f>
        <v>8.5626461107452589E-2</v>
      </c>
      <c r="AQ112" s="58">
        <f>AP112*Table13[[#This Row],[Unconditional mortality NOW]]</f>
        <v>5.1664034260281807E-7</v>
      </c>
      <c r="AR112" s="60">
        <f>Table13[[#This Row],[cumulative debt until t]]*Table13[[#This Row],[Unconditional mortality NOW]]</f>
        <v>5.6917263298175301E-6</v>
      </c>
      <c r="AS112" s="58">
        <f>Table13[[#This Row],[lender to pay cumulative probablistic undiscounted]]/Table13[[#This Row],[lender discounter]]</f>
        <v>3.8714038353472642E-7</v>
      </c>
    </row>
    <row r="113" spans="1:45" s="3" customFormat="1">
      <c r="A113" s="3">
        <v>117</v>
      </c>
      <c r="B113" s="8">
        <v>3.2000000000000001E-2</v>
      </c>
      <c r="C113" s="3">
        <v>0</v>
      </c>
      <c r="D113" s="12">
        <v>3.2000000000000001E-2</v>
      </c>
      <c r="E113" s="66">
        <v>0.79988000000000004</v>
      </c>
      <c r="F113" s="13">
        <f>1-Table13[[#This Row],[one-year conditional mortality AT ISSUE]]</f>
        <v>0.20011999999999996</v>
      </c>
      <c r="G113" s="13">
        <f>PRODUCT(F$17:F113)</f>
        <v>1.1932286154482164E-8</v>
      </c>
      <c r="H113" s="13">
        <f>Table13[[#This Row],[one-year conditional survival AT ISSUE]]*(1-Table13[[#This Row],[Lapse rate]])</f>
        <v>0.19371615999999997</v>
      </c>
      <c r="I113" s="13">
        <f>PRODUCT(H$17:H113)</f>
        <v>3.4550315508957222E-10</v>
      </c>
      <c r="J113" s="13">
        <f>G112*Table13[[#This Row],[one-year conditional mortality AT ISSUE]]</f>
        <v>4.7693369224701162E-8</v>
      </c>
      <c r="K113" s="10">
        <f>I112*Table13[[#This Row],[one-year conditional mortality AT ISSUE]]</f>
        <v>1.4266288558117562E-9</v>
      </c>
      <c r="L113" s="3">
        <f t="shared" si="1"/>
        <v>2.4615991981893799E-3</v>
      </c>
      <c r="M113" s="44">
        <f>Table13[[#This Row],[Death benefit pay probability]]/Table13[[#This Row],[unconditional persistency AT ISSUE]]</f>
        <v>4.129134089794058</v>
      </c>
      <c r="N113" s="44">
        <f>Table13[[#This Row],[one-year conditional mortality AT ISSUE]]/Table13[[#This Row],[one-year conditional persistency AT ISSUE]]</f>
        <v>4.129134089794058</v>
      </c>
      <c r="O113" s="4">
        <f>(1+$B$14)^(Table13[[#This Row],[age since issue]]-$A$17)</f>
        <v>27.181510057855888</v>
      </c>
      <c r="P113" s="5">
        <f>(Table13[[#This Row],[level premium unmarked-up]]*Table13[[#This Row],[unconditional persistency AT ISSUE]]-Table13[[#This Row],[Death benefit pay probability]])</f>
        <v>-1.4257783655222157E-9</v>
      </c>
      <c r="Q113" s="4">
        <f>Table13[[#This Row],[Issuer profit with unmarked-up level premium]]/Table13[[#This Row],[Issuer discounter at issue]]</f>
        <v>-5.245397928545707E-11</v>
      </c>
      <c r="R113" s="4">
        <f>(Table13[[#This Row],[variable premium unmarked up]]*Table13[[#This Row],[unconditional persistency AT ISSUE]]-Table13[[#This Row],[Death benefit pay probability]])</f>
        <v>-2.0679515313825692E-25</v>
      </c>
      <c r="S113" s="6">
        <f>Table13[[#This Row],[level premium unmarked-up]]*(1+$B$15)</f>
        <v>2.4615991981893799E-3</v>
      </c>
      <c r="T113" s="6">
        <f>MIN(Table13[[#This Row],[variable premium unmarked up]]*(1+$B$15),1)</f>
        <v>1</v>
      </c>
      <c r="U113" s="6">
        <f>Table13[[#This Row],[level premium marked up]]-Table13[[#This Row],[variable premium marked up]]</f>
        <v>-0.99753840080181067</v>
      </c>
      <c r="V113" s="6">
        <f>Table13[[#This Row],[additional cash]]+V112*(1+$D$2)</f>
        <v>-19.72226292037541</v>
      </c>
      <c r="W113" s="12">
        <v>0.5</v>
      </c>
      <c r="X113" s="13">
        <f>1-Table13[[#This Row],[one-year conditional mortality NOW]]</f>
        <v>0.5</v>
      </c>
      <c r="Y113" s="49">
        <f>PRODUCT(X$17:X113)</f>
        <v>3.0168264337964783E-6</v>
      </c>
      <c r="Z113" s="13">
        <f>Table13[[#This Row],[one-year conditional survival NOW]]*(1-Table13[[#This Row],[Lapse rate]])</f>
        <v>0.48399999999999999</v>
      </c>
      <c r="AA113" s="13">
        <f>PRODUCT(Z$17:Z113)</f>
        <v>1.1371324263532866E-6</v>
      </c>
      <c r="AB113" s="50">
        <f>Y112*Table13[[#This Row],[one-year conditional mortality NOW]]</f>
        <v>3.0168264337964783E-6</v>
      </c>
      <c r="AC113" s="14">
        <v>1.9699999999999999E-2</v>
      </c>
      <c r="AD113" s="28">
        <f>(1+Table13[[#This Row],[Yield curve now]])^(Table13[[#This Row],[age since issue]]-$B$11)</f>
        <v>1.7954469562503539</v>
      </c>
      <c r="AE113" s="46">
        <f t="shared" si="3"/>
        <v>1.0817543739185225</v>
      </c>
      <c r="AF113" s="42">
        <f>1-Table13[[#This Row],[cumulative debt until t]]</f>
        <v>-8.1754373918522472E-2</v>
      </c>
      <c r="AG113" s="46">
        <f>Table13[[#This Row],[cumulative debt until t]]*Table13[[#This Row],[Unconditional mortality NOW]]/Table13[[#This Row],[discouter with yield curve]]</f>
        <v>1.8176338647886552E-6</v>
      </c>
      <c r="AH113" s="48">
        <f>Table13[[#This Row],[Unconditional mortality NOW]]/Table13[[#This Row],[discouter with yield curve]]</f>
        <v>1.6802648629045978E-6</v>
      </c>
      <c r="AI113" s="29">
        <f>Table13[[#This Row],[user profit (death benefit - debt)]]*Table13[[#This Row],[Unconditional mortality NOW]]/Table13[[#This Row],[discouter with yield curve]]</f>
        <v>-1.3736900188405739E-7</v>
      </c>
      <c r="AJ113" s="29">
        <f>(1+$D$4)^(Table13[[#This Row],[age since issue]]-$B$11)</f>
        <v>1.3478489153329063</v>
      </c>
      <c r="AK113" s="57">
        <f>Table13[[#This Row],[level premium marked up]]*Table13[[#This Row],[unconditional survival NOW]]</f>
        <v>7.4262175305099378E-9</v>
      </c>
      <c r="AL113" s="62">
        <f>Table13[[#This Row],[cumulative debt until t]]*Table13[[#This Row],[Unconditional mortality NOW]]</f>
        <v>3.2634651901123584E-6</v>
      </c>
      <c r="AM113" s="47">
        <f>Table13[[#This Row],[probablistic premium stream]]/Table13[[#This Row],[lender discounter]]</f>
        <v>5.5096809783578229E-9</v>
      </c>
      <c r="AN113" s="58">
        <f>Table13[[#This Row],[probablistic repay from borrower]]/Table13[[#This Row],[lender discounter]]</f>
        <v>2.4212396159448721E-6</v>
      </c>
      <c r="AO113" s="47">
        <f>(Table13[[#This Row],[probablistic repay from borrower]]-Table13[[#This Row],[probablistic premium stream]])/Table13[[#This Row],[lender discounter]]</f>
        <v>2.4157299349665141E-6</v>
      </c>
      <c r="AP113" s="46">
        <f>AP112*(1+$D$4)+ Table13[[#This Row],[level premium marked up]]</f>
        <v>8.8944324916716486E-2</v>
      </c>
      <c r="AQ113" s="58">
        <f>AP113*Table13[[#This Row],[Unconditional mortality NOW]]</f>
        <v>2.6832959054493305E-7</v>
      </c>
      <c r="AR113" s="60">
        <f>Table13[[#This Row],[cumulative debt until t]]*Table13[[#This Row],[Unconditional mortality NOW]]</f>
        <v>3.2634651901123584E-6</v>
      </c>
      <c r="AS113" s="58">
        <f>Table13[[#This Row],[lender to pay cumulative probablistic undiscounted]]/Table13[[#This Row],[lender discounter]]</f>
        <v>1.99079872745721E-7</v>
      </c>
    </row>
    <row r="114" spans="1:45" s="3" customFormat="1">
      <c r="A114" s="3">
        <v>118</v>
      </c>
      <c r="B114" s="8">
        <v>3.2000000000000001E-2</v>
      </c>
      <c r="C114" s="3">
        <v>0</v>
      </c>
      <c r="D114" s="12">
        <v>3.2000000000000001E-2</v>
      </c>
      <c r="E114" s="66">
        <v>0.84626999999999997</v>
      </c>
      <c r="F114" s="13">
        <f>1-Table13[[#This Row],[one-year conditional mortality AT ISSUE]]</f>
        <v>0.15373000000000003</v>
      </c>
      <c r="G114" s="13">
        <f>PRODUCT(F$17:F114)</f>
        <v>1.8343503505285435E-9</v>
      </c>
      <c r="H114" s="13">
        <f>Table13[[#This Row],[one-year conditional survival AT ISSUE]]*(1-Table13[[#This Row],[Lapse rate]])</f>
        <v>0.14881064000000002</v>
      </c>
      <c r="I114" s="13">
        <f>PRODUCT(H$17:H114)</f>
        <v>5.1414545630898505E-11</v>
      </c>
      <c r="J114" s="13">
        <f>G113*Table13[[#This Row],[one-year conditional mortality AT ISSUE]]</f>
        <v>1.009793580395362E-8</v>
      </c>
      <c r="K114" s="10">
        <f>I113*Table13[[#This Row],[one-year conditional mortality AT ISSUE]]</f>
        <v>2.9238895505765227E-10</v>
      </c>
      <c r="L114" s="3">
        <f t="shared" si="1"/>
        <v>2.4615991981893799E-3</v>
      </c>
      <c r="M114" s="44">
        <f>Table13[[#This Row],[Death benefit pay probability]]/Table13[[#This Row],[unconditional persistency AT ISSUE]]</f>
        <v>5.6868917437624074</v>
      </c>
      <c r="N114" s="44">
        <f>Table13[[#This Row],[one-year conditional mortality AT ISSUE]]/Table13[[#This Row],[one-year conditional persistency AT ISSUE]]</f>
        <v>5.6868917437624074</v>
      </c>
      <c r="O114" s="4">
        <f>(1+$B$14)^(Table13[[#This Row],[age since issue]]-$A$17)</f>
        <v>28.132862909880842</v>
      </c>
      <c r="P114" s="5">
        <f>(Table13[[#This Row],[level premium unmarked-up]]*Table13[[#This Row],[unconditional persistency AT ISSUE]]-Table13[[#This Row],[Death benefit pay probability]])</f>
        <v>-2.9226239305335197E-10</v>
      </c>
      <c r="Q114" s="4">
        <f>Table13[[#This Row],[Issuer profit with unmarked-up level premium]]/Table13[[#This Row],[Issuer discounter at issue]]</f>
        <v>-1.0388647397514008E-11</v>
      </c>
      <c r="R114" s="4">
        <f>(Table13[[#This Row],[variable premium unmarked up]]*Table13[[#This Row],[unconditional persistency AT ISSUE]]-Table13[[#This Row],[Death benefit pay probability]])</f>
        <v>0</v>
      </c>
      <c r="S114" s="6">
        <f>Table13[[#This Row],[level premium unmarked-up]]*(1+$B$15)</f>
        <v>2.4615991981893799E-3</v>
      </c>
      <c r="T114" s="6">
        <f>MIN(Table13[[#This Row],[variable premium unmarked up]]*(1+$B$15),1)</f>
        <v>1</v>
      </c>
      <c r="U114" s="6">
        <f>Table13[[#This Row],[level premium marked up]]-Table13[[#This Row],[variable premium marked up]]</f>
        <v>-0.99753840080181067</v>
      </c>
      <c r="V114" s="6">
        <f>Table13[[#This Row],[additional cash]]+V113*(1+$D$2)</f>
        <v>-20.739523584097594</v>
      </c>
      <c r="W114" s="12">
        <v>0.5</v>
      </c>
      <c r="X114" s="13">
        <f>1-Table13[[#This Row],[one-year conditional mortality NOW]]</f>
        <v>0.5</v>
      </c>
      <c r="Y114" s="49">
        <f>PRODUCT(X$17:X114)</f>
        <v>1.5084132168982392E-6</v>
      </c>
      <c r="Z114" s="13">
        <f>Table13[[#This Row],[one-year conditional survival NOW]]*(1-Table13[[#This Row],[Lapse rate]])</f>
        <v>0.48399999999999999</v>
      </c>
      <c r="AA114" s="13">
        <f>PRODUCT(Z$17:Z114)</f>
        <v>5.5037209435499071E-7</v>
      </c>
      <c r="AB114" s="50">
        <f>Y113*Table13[[#This Row],[one-year conditional mortality NOW]]</f>
        <v>1.5084132168982392E-6</v>
      </c>
      <c r="AC114" s="14">
        <v>1.9699999999999999E-2</v>
      </c>
      <c r="AD114" s="28">
        <f>(1+Table13[[#This Row],[Yield curve now]])^(Table13[[#This Row],[age since issue]]-$B$11)</f>
        <v>1.8308172612884857</v>
      </c>
      <c r="AE114" s="46">
        <f t="shared" si="3"/>
        <v>1.2400778934680978</v>
      </c>
      <c r="AF114" s="42">
        <f>1-Table13[[#This Row],[cumulative debt until t]]</f>
        <v>-0.24007789346809782</v>
      </c>
      <c r="AG114" s="46">
        <f>Table13[[#This Row],[cumulative debt until t]]*Table13[[#This Row],[Unconditional mortality NOW]]/Table13[[#This Row],[discouter with yield curve]]</f>
        <v>1.0217021239870531E-6</v>
      </c>
      <c r="AH114" s="48">
        <f>Table13[[#This Row],[Unconditional mortality NOW]]/Table13[[#This Row],[discouter with yield curve]]</f>
        <v>8.2390157051318914E-7</v>
      </c>
      <c r="AI114" s="29">
        <f>Table13[[#This Row],[user profit (death benefit - debt)]]*Table13[[#This Row],[Unconditional mortality NOW]]/Table13[[#This Row],[discouter with yield curve]]</f>
        <v>-1.9780055347386393E-7</v>
      </c>
      <c r="AJ114" s="29">
        <f>(1+$D$4)^(Table13[[#This Row],[age since issue]]-$B$11)</f>
        <v>1.3613274044862349</v>
      </c>
      <c r="AK114" s="57">
        <f>Table13[[#This Row],[level premium marked up]]*Table13[[#This Row],[unconditional survival NOW]]</f>
        <v>3.7131087652549689E-9</v>
      </c>
      <c r="AL114" s="62">
        <f>Table13[[#This Row],[cumulative debt until t]]*Table13[[#This Row],[Unconditional mortality NOW]]</f>
        <v>1.8705498844906053E-6</v>
      </c>
      <c r="AM114" s="47">
        <f>Table13[[#This Row],[probablistic premium stream]]/Table13[[#This Row],[lender discounter]]</f>
        <v>2.7275648407712004E-9</v>
      </c>
      <c r="AN114" s="58">
        <f>Table13[[#This Row],[probablistic repay from borrower]]/Table13[[#This Row],[lender discounter]]</f>
        <v>1.3740631962055821E-6</v>
      </c>
      <c r="AO114" s="47">
        <f>(Table13[[#This Row],[probablistic repay from borrower]]-Table13[[#This Row],[probablistic premium stream]])/Table13[[#This Row],[lender discounter]]</f>
        <v>1.3713356313648108E-6</v>
      </c>
      <c r="AP114" s="46">
        <f>AP113*(1+$D$4)+ Table13[[#This Row],[level premium marked up]]</f>
        <v>9.2295367364073025E-2</v>
      </c>
      <c r="AQ114" s="58">
        <f>AP114*Table13[[#This Row],[Unconditional mortality NOW]]</f>
        <v>1.3921955199044614E-7</v>
      </c>
      <c r="AR114" s="60">
        <f>Table13[[#This Row],[cumulative debt until t]]*Table13[[#This Row],[Unconditional mortality NOW]]</f>
        <v>1.8705498844906053E-6</v>
      </c>
      <c r="AS114" s="58">
        <f>Table13[[#This Row],[lender to pay cumulative probablistic undiscounted]]/Table13[[#This Row],[lender discounter]]</f>
        <v>1.0226750121363172E-7</v>
      </c>
    </row>
    <row r="115" spans="1:45" s="3" customFormat="1">
      <c r="A115" s="3">
        <v>119</v>
      </c>
      <c r="B115" s="8">
        <v>3.2000000000000001E-2</v>
      </c>
      <c r="C115" s="3">
        <v>0</v>
      </c>
      <c r="D115" s="12">
        <v>3.2000000000000001E-2</v>
      </c>
      <c r="E115" s="66">
        <v>0.89536000000000004</v>
      </c>
      <c r="F115" s="13">
        <f>1-Table13[[#This Row],[one-year conditional mortality AT ISSUE]]</f>
        <v>0.10463999999999996</v>
      </c>
      <c r="G115" s="13">
        <f>PRODUCT(F$17:F115)</f>
        <v>1.9194642067930672E-10</v>
      </c>
      <c r="H115" s="13">
        <f>Table13[[#This Row],[one-year conditional survival AT ISSUE]]*(1-Table13[[#This Row],[Lapse rate]])</f>
        <v>0.10129151999999995</v>
      </c>
      <c r="I115" s="13">
        <f>PRODUCT(H$17:H115)</f>
        <v>5.2078574770630665E-12</v>
      </c>
      <c r="J115" s="13">
        <f>G114*Table13[[#This Row],[one-year conditional mortality AT ISSUE]]</f>
        <v>1.6424039298492368E-9</v>
      </c>
      <c r="K115" s="10">
        <f>I114*Table13[[#This Row],[one-year conditional mortality AT ISSUE]]</f>
        <v>4.6034527576081289E-11</v>
      </c>
      <c r="L115" s="3">
        <f t="shared" si="1"/>
        <v>2.4615991981893799E-3</v>
      </c>
      <c r="M115" s="44">
        <f>Table13[[#This Row],[Death benefit pay probability]]/Table13[[#This Row],[unconditional persistency AT ISSUE]]</f>
        <v>8.8394369044911212</v>
      </c>
      <c r="N115" s="44">
        <f>Table13[[#This Row],[one-year conditional mortality AT ISSUE]]/Table13[[#This Row],[one-year conditional persistency AT ISSUE]]</f>
        <v>8.8394369044911212</v>
      </c>
      <c r="O115" s="4">
        <f>(1+$B$14)^(Table13[[#This Row],[age since issue]]-$A$17)</f>
        <v>29.117513111726669</v>
      </c>
      <c r="P115" s="5">
        <f>(Table13[[#This Row],[level premium unmarked-up]]*Table13[[#This Row],[unconditional persistency AT ISSUE]]-Table13[[#This Row],[Death benefit pay probability]])</f>
        <v>-4.6021707918291464E-11</v>
      </c>
      <c r="Q115" s="4">
        <f>Table13[[#This Row],[Issuer profit with unmarked-up level premium]]/Table13[[#This Row],[Issuer discounter at issue]]</f>
        <v>-1.5805507751194888E-12</v>
      </c>
      <c r="R115" s="4">
        <f>(Table13[[#This Row],[variable premium unmarked up]]*Table13[[#This Row],[unconditional persistency AT ISSUE]]-Table13[[#This Row],[Death benefit pay probability]])</f>
        <v>6.4623485355705287E-27</v>
      </c>
      <c r="S115" s="6">
        <f>Table13[[#This Row],[level premium unmarked-up]]*(1+$B$15)</f>
        <v>2.4615991981893799E-3</v>
      </c>
      <c r="T115" s="6">
        <f>MIN(Table13[[#This Row],[variable premium unmarked up]]*(1+$B$15),1)</f>
        <v>1</v>
      </c>
      <c r="U115" s="6">
        <f>Table13[[#This Row],[level premium marked up]]-Table13[[#This Row],[variable premium marked up]]</f>
        <v>-0.99753840080181067</v>
      </c>
      <c r="V115" s="6">
        <f>Table13[[#This Row],[additional cash]]+V114*(1+$D$2)</f>
        <v>-21.757801508483499</v>
      </c>
      <c r="W115" s="12">
        <v>0.5</v>
      </c>
      <c r="X115" s="13">
        <f>1-Table13[[#This Row],[one-year conditional mortality NOW]]</f>
        <v>0.5</v>
      </c>
      <c r="Y115" s="49">
        <f>PRODUCT(X$17:X115)</f>
        <v>7.5420660844911959E-7</v>
      </c>
      <c r="Z115" s="13">
        <f>Table13[[#This Row],[one-year conditional survival NOW]]*(1-Table13[[#This Row],[Lapse rate]])</f>
        <v>0.48399999999999999</v>
      </c>
      <c r="AA115" s="13">
        <f>PRODUCT(Z$17:Z115)</f>
        <v>2.6638009366781549E-7</v>
      </c>
      <c r="AB115" s="50">
        <f>Y114*Table13[[#This Row],[one-year conditional mortality NOW]]</f>
        <v>7.5420660844911959E-7</v>
      </c>
      <c r="AC115" s="14">
        <v>1.9699999999999999E-2</v>
      </c>
      <c r="AD115" s="28">
        <f>(1+Table13[[#This Row],[Yield curve now]])^(Table13[[#This Row],[age since issue]]-$B$11)</f>
        <v>1.866884361335869</v>
      </c>
      <c r="AE115" s="46">
        <f t="shared" si="3"/>
        <v>1.4211612767400745</v>
      </c>
      <c r="AF115" s="42">
        <f>1-Table13[[#This Row],[cumulative debt until t]]</f>
        <v>-0.42116127674007453</v>
      </c>
      <c r="AG115" s="46">
        <f>Table13[[#This Row],[cumulative debt until t]]*Table13[[#This Row],[Unconditional mortality NOW]]/Table13[[#This Row],[discouter with yield curve]]</f>
        <v>5.7413798561276669E-7</v>
      </c>
      <c r="AH115" s="48">
        <f>Table13[[#This Row],[Unconditional mortality NOW]]/Table13[[#This Row],[discouter with yield curve]]</f>
        <v>4.0399214009668975E-7</v>
      </c>
      <c r="AI115" s="29">
        <f>Table13[[#This Row],[user profit (death benefit - debt)]]*Table13[[#This Row],[Unconditional mortality NOW]]/Table13[[#This Row],[discouter with yield curve]]</f>
        <v>-1.7014584551607694E-7</v>
      </c>
      <c r="AJ115" s="29">
        <f>(1+$D$4)^(Table13[[#This Row],[age since issue]]-$B$11)</f>
        <v>1.3749406785310976</v>
      </c>
      <c r="AK115" s="57">
        <f>Table13[[#This Row],[level premium marked up]]*Table13[[#This Row],[unconditional survival NOW]]</f>
        <v>1.8565543826274845E-9</v>
      </c>
      <c r="AL115" s="62">
        <f>Table13[[#This Row],[cumulative debt until t]]*Table13[[#This Row],[Unconditional mortality NOW]]</f>
        <v>1.0718492265893523E-6</v>
      </c>
      <c r="AM115" s="47">
        <f>Table13[[#This Row],[probablistic premium stream]]/Table13[[#This Row],[lender discounter]]</f>
        <v>1.3502796241441583E-9</v>
      </c>
      <c r="AN115" s="58">
        <f>Table13[[#This Row],[probablistic repay from borrower]]/Table13[[#This Row],[lender discounter]]</f>
        <v>7.7956034273016807E-7</v>
      </c>
      <c r="AO115" s="47">
        <f>(Table13[[#This Row],[probablistic repay from borrower]]-Table13[[#This Row],[probablistic premium stream]])/Table13[[#This Row],[lender discounter]]</f>
        <v>7.7821006310602385E-7</v>
      </c>
      <c r="AP115" s="46">
        <f>AP114*(1+$D$4)+ Table13[[#This Row],[level premium marked up]]</f>
        <v>9.5679920235903132E-2</v>
      </c>
      <c r="AQ115" s="58">
        <f>AP115*Table13[[#This Row],[Unconditional mortality NOW]]</f>
        <v>7.2162428137802783E-8</v>
      </c>
      <c r="AR115" s="60">
        <f>Table13[[#This Row],[cumulative debt until t]]*Table13[[#This Row],[Unconditional mortality NOW]]</f>
        <v>1.0718492265893523E-6</v>
      </c>
      <c r="AS115" s="58">
        <f>Table13[[#This Row],[lender to pay cumulative probablistic undiscounted]]/Table13[[#This Row],[lender discounter]]</f>
        <v>5.2484030230960002E-8</v>
      </c>
    </row>
    <row r="116" spans="1:45" s="3" customFormat="1">
      <c r="A116" s="3">
        <v>120</v>
      </c>
      <c r="B116" s="8">
        <v>3.2000000000000001E-2</v>
      </c>
      <c r="C116" s="3">
        <v>0</v>
      </c>
      <c r="D116" s="12">
        <v>3.2000000000000001E-2</v>
      </c>
      <c r="E116" s="66">
        <v>0.94728999999999997</v>
      </c>
      <c r="F116" s="13">
        <f>1-Table13[[#This Row],[one-year conditional mortality AT ISSUE]]</f>
        <v>5.2710000000000035E-2</v>
      </c>
      <c r="G116" s="13">
        <f>PRODUCT(F$17:F116)</f>
        <v>1.0117495834006264E-11</v>
      </c>
      <c r="H116" s="13">
        <f>Table13[[#This Row],[one-year conditional survival AT ISSUE]]*(1-Table13[[#This Row],[Lapse rate]])</f>
        <v>5.1023280000000032E-2</v>
      </c>
      <c r="I116" s="13">
        <f>PRODUCT(H$17:H116)</f>
        <v>2.657219702522826E-13</v>
      </c>
      <c r="J116" s="13">
        <f>G115*Table13[[#This Row],[one-year conditional mortality AT ISSUE]]</f>
        <v>1.8182892484530045E-10</v>
      </c>
      <c r="K116" s="10">
        <f>I115*Table13[[#This Row],[one-year conditional mortality AT ISSUE]]</f>
        <v>4.9333513094470724E-12</v>
      </c>
      <c r="L116" s="3">
        <f t="shared" si="1"/>
        <v>2.4615991981893799E-3</v>
      </c>
      <c r="M116" s="44">
        <f>Table13[[#This Row],[Death benefit pay probability]]/Table13[[#This Row],[unconditional persistency AT ISSUE]]</f>
        <v>18.565838966056265</v>
      </c>
      <c r="N116" s="44">
        <f>Table13[[#This Row],[one-year conditional mortality AT ISSUE]]/Table13[[#This Row],[one-year conditional persistency AT ISSUE]]</f>
        <v>18.565838966056265</v>
      </c>
      <c r="O116" s="4">
        <f>(1+$B$14)^(Table13[[#This Row],[age since issue]]-$A$17)</f>
        <v>30.136626070637099</v>
      </c>
      <c r="P116" s="5">
        <f>(Table13[[#This Row],[level premium unmarked-up]]*Table13[[#This Row],[unconditional persistency AT ISSUE]]-Table13[[#This Row],[Death benefit pay probability]])</f>
        <v>-4.9326972084581582E-12</v>
      </c>
      <c r="Q116" s="4">
        <f>Table13[[#This Row],[Issuer profit with unmarked-up level premium]]/Table13[[#This Row],[Issuer discounter at issue]]</f>
        <v>-1.6367781837609929E-13</v>
      </c>
      <c r="R116" s="4">
        <f>(Table13[[#This Row],[variable premium unmarked up]]*Table13[[#This Row],[unconditional persistency AT ISSUE]]-Table13[[#This Row],[Death benefit pay probability]])</f>
        <v>0</v>
      </c>
      <c r="S116" s="6">
        <f>Table13[[#This Row],[level premium unmarked-up]]*(1+$B$15)</f>
        <v>2.4615991981893799E-3</v>
      </c>
      <c r="T116" s="6">
        <f>MIN(Table13[[#This Row],[variable premium unmarked up]]*(1+$B$15),1)</f>
        <v>1</v>
      </c>
      <c r="U116" s="6">
        <f>Table13[[#This Row],[level premium marked up]]-Table13[[#This Row],[variable premium marked up]]</f>
        <v>-0.99753840080181067</v>
      </c>
      <c r="V116" s="6">
        <f>Table13[[#This Row],[additional cash]]+V115*(1+$D$2)</f>
        <v>-22.777097710793793</v>
      </c>
      <c r="W116" s="12">
        <v>0.5</v>
      </c>
      <c r="X116" s="13">
        <f>1-Table13[[#This Row],[one-year conditional mortality NOW]]</f>
        <v>0.5</v>
      </c>
      <c r="Y116" s="49">
        <f>PRODUCT(X$17:X116)</f>
        <v>3.7710330422455979E-7</v>
      </c>
      <c r="Z116" s="13">
        <f>Table13[[#This Row],[one-year conditional survival NOW]]*(1-Table13[[#This Row],[Lapse rate]])</f>
        <v>0.48399999999999999</v>
      </c>
      <c r="AA116" s="13">
        <f>PRODUCT(Z$17:Z116)</f>
        <v>1.2892796533522269E-7</v>
      </c>
      <c r="AB116" s="50">
        <f>Y115*Table13[[#This Row],[one-year conditional mortality NOW]]</f>
        <v>3.7710330422455979E-7</v>
      </c>
      <c r="AC116" s="14">
        <v>1.9699999999999999E-2</v>
      </c>
      <c r="AD116" s="28">
        <f>(1+Table13[[#This Row],[Yield curve now]])^(Table13[[#This Row],[age since issue]]-$B$11)</f>
        <v>1.9036619832541857</v>
      </c>
      <c r="AE116" s="46">
        <f t="shared" si="3"/>
        <v>1.6282763774560978</v>
      </c>
      <c r="AF116" s="42">
        <f>1-Table13[[#This Row],[cumulative debt until t]]</f>
        <v>-0.62827637745609777</v>
      </c>
      <c r="AG116" s="46">
        <f>Table13[[#This Row],[cumulative debt until t]]*Table13[[#This Row],[Unconditional mortality NOW]]/Table13[[#This Row],[discouter with yield curve]]</f>
        <v>3.2255117112747586E-7</v>
      </c>
      <c r="AH116" s="48">
        <f>Table13[[#This Row],[Unconditional mortality NOW]]/Table13[[#This Row],[discouter with yield curve]]</f>
        <v>1.9809362562356074E-7</v>
      </c>
      <c r="AI116" s="29">
        <f>Table13[[#This Row],[user profit (death benefit - debt)]]*Table13[[#This Row],[Unconditional mortality NOW]]/Table13[[#This Row],[discouter with yield curve]]</f>
        <v>-1.2445754550391515E-7</v>
      </c>
      <c r="AJ116" s="29">
        <f>(1+$D$4)^(Table13[[#This Row],[age since issue]]-$B$11)</f>
        <v>1.3886900853164086</v>
      </c>
      <c r="AK116" s="57">
        <f>Table13[[#This Row],[level premium marked up]]*Table13[[#This Row],[unconditional survival NOW]]</f>
        <v>9.2827719131374223E-10</v>
      </c>
      <c r="AL116" s="62">
        <f>Table13[[#This Row],[cumulative debt until t]]*Table13[[#This Row],[Unconditional mortality NOW]]</f>
        <v>6.1402840212949098E-7</v>
      </c>
      <c r="AM116" s="47">
        <f>Table13[[#This Row],[probablistic premium stream]]/Table13[[#This Row],[lender discounter]]</f>
        <v>6.6845525947730608E-10</v>
      </c>
      <c r="AN116" s="58">
        <f>Table13[[#This Row],[probablistic repay from borrower]]/Table13[[#This Row],[lender discounter]]</f>
        <v>4.421637402196809E-7</v>
      </c>
      <c r="AO116" s="47">
        <f>(Table13[[#This Row],[probablistic repay from borrower]]-Table13[[#This Row],[probablistic premium stream]])/Table13[[#This Row],[lender discounter]]</f>
        <v>4.4149528496020356E-7</v>
      </c>
      <c r="AP116" s="46">
        <f>AP115*(1+$D$4)+ Table13[[#This Row],[level premium marked up]]</f>
        <v>9.9098318636451535E-2</v>
      </c>
      <c r="AQ116" s="58">
        <f>AP116*Table13[[#This Row],[Unconditional mortality NOW]]</f>
        <v>3.7370303400904145E-8</v>
      </c>
      <c r="AR116" s="60">
        <f>Table13[[#This Row],[cumulative debt until t]]*Table13[[#This Row],[Unconditional mortality NOW]]</f>
        <v>6.1402840212949098E-7</v>
      </c>
      <c r="AS116" s="58">
        <f>Table13[[#This Row],[lender to pay cumulative probablistic undiscounted]]/Table13[[#This Row],[lender discounter]]</f>
        <v>2.6910470374957304E-8</v>
      </c>
    </row>
    <row r="117" spans="1:45" s="3" customFormat="1">
      <c r="A117" s="3">
        <v>121</v>
      </c>
      <c r="B117" s="8">
        <v>3.2000000000000001E-2</v>
      </c>
      <c r="C117" s="3">
        <v>0</v>
      </c>
      <c r="D117" s="12">
        <v>3.2000000000000001E-2</v>
      </c>
      <c r="E117" s="66">
        <v>0.99999999989999999</v>
      </c>
      <c r="F117" s="13">
        <f>1-Table13[[#This Row],[one-year conditional mortality AT ISSUE]]</f>
        <v>1.000000082740371E-10</v>
      </c>
      <c r="G117" s="13">
        <f>PRODUCT(F$17:F117)</f>
        <v>1.0117496671131623E-21</v>
      </c>
      <c r="H117" s="13">
        <f>Table13[[#This Row],[one-year conditional survival AT ISSUE]]*(1-Table13[[#This Row],[Lapse rate]])</f>
        <v>9.6800008009267909E-11</v>
      </c>
      <c r="I117" s="13">
        <f>PRODUCT(H$17:H117)</f>
        <v>2.5721888848659405E-23</v>
      </c>
      <c r="J117" s="13">
        <f>G116*Table13[[#This Row],[one-year conditional mortality AT ISSUE]]</f>
        <v>1.0117495832994514E-11</v>
      </c>
      <c r="K117" s="10">
        <f>I116*Table13[[#This Row],[one-year conditional mortality AT ISSUE]]</f>
        <v>2.6572197022571039E-13</v>
      </c>
      <c r="L117" s="3">
        <f t="shared" si="1"/>
        <v>2.4615991981893799E-3</v>
      </c>
      <c r="M117" s="44">
        <f>Table13[[#This Row],[Death benefit pay probability]]/Table13[[#This Row],[unconditional persistency AT ISSUE]]</f>
        <v>10330577656.607807</v>
      </c>
      <c r="N117" s="44">
        <f>Table13[[#This Row],[one-year conditional mortality AT ISSUE]]/Table13[[#This Row],[one-year conditional persistency AT ISSUE]]</f>
        <v>10330577656.607809</v>
      </c>
      <c r="O117" s="4">
        <f>(1+$B$14)^(Table13[[#This Row],[age since issue]]-$A$17)</f>
        <v>31.191407983109396</v>
      </c>
      <c r="P117" s="5">
        <f>(Table13[[#This Row],[level premium unmarked-up]]*Table13[[#This Row],[unconditional persistency AT ISSUE]]-Table13[[#This Row],[Death benefit pay probability]])</f>
        <v>-2.6572197022564707E-13</v>
      </c>
      <c r="Q117" s="4">
        <f>Table13[[#This Row],[Issuer profit with unmarked-up level premium]]/Table13[[#This Row],[Issuer discounter at issue]]</f>
        <v>-8.5190758419606904E-15</v>
      </c>
      <c r="R117" s="4">
        <f>(Table13[[#This Row],[variable premium unmarked up]]*Table13[[#This Row],[unconditional persistency AT ISSUE]]-Table13[[#This Row],[Death benefit pay probability]])</f>
        <v>0</v>
      </c>
      <c r="S117" s="6">
        <f>Table13[[#This Row],[level premium unmarked-up]]*(1+$B$15)</f>
        <v>2.4615991981893799E-3</v>
      </c>
      <c r="T117" s="6">
        <f>MIN(Table13[[#This Row],[variable premium unmarked up]]*(1+$B$15),1)</f>
        <v>1</v>
      </c>
      <c r="U117" s="6">
        <f>Table13[[#This Row],[level premium marked up]]-Table13[[#This Row],[variable premium marked up]]</f>
        <v>-0.99753840080181067</v>
      </c>
      <c r="V117" s="6">
        <f>Table13[[#This Row],[additional cash]]+V116*(1+$D$2)</f>
        <v>-23.797413209306395</v>
      </c>
      <c r="W117" s="12">
        <v>0.5</v>
      </c>
      <c r="X117" s="13">
        <f>1-Table13[[#This Row],[one-year conditional mortality NOW]]</f>
        <v>0.5</v>
      </c>
      <c r="Y117" s="49">
        <f>PRODUCT(X$17:X117)</f>
        <v>1.885516521122799E-7</v>
      </c>
      <c r="Z117" s="13">
        <f>Table13[[#This Row],[one-year conditional survival NOW]]*(1-Table13[[#This Row],[Lapse rate]])</f>
        <v>0.48399999999999999</v>
      </c>
      <c r="AA117" s="13">
        <f>PRODUCT(Z$17:Z117)</f>
        <v>6.2401135222247778E-8</v>
      </c>
      <c r="AB117" s="50">
        <f>Y116*Table13[[#This Row],[one-year conditional mortality NOW]]</f>
        <v>1.885516521122799E-7</v>
      </c>
      <c r="AC117" s="14">
        <v>1.9699999999999999E-2</v>
      </c>
      <c r="AD117" s="28">
        <f>(1+Table13[[#This Row],[Yield curve now]])^(Table13[[#This Row],[age since issue]]-$B$11)</f>
        <v>1.9411641243242932</v>
      </c>
      <c r="AE117" s="46">
        <f t="shared" si="3"/>
        <v>1.8651653960370032</v>
      </c>
      <c r="AF117" s="42">
        <f>1-Table13[[#This Row],[cumulative debt until t]]</f>
        <v>-0.86516539603700315</v>
      </c>
      <c r="AG117" s="46">
        <f>Table13[[#This Row],[cumulative debt until t]]*Table13[[#This Row],[Unconditional mortality NOW]]/Table13[[#This Row],[discouter with yield curve]]</f>
        <v>1.8116964582160169E-7</v>
      </c>
      <c r="AH117" s="48">
        <f>Table13[[#This Row],[Unconditional mortality NOW]]/Table13[[#This Row],[discouter with yield curve]]</f>
        <v>9.7133287056762149E-8</v>
      </c>
      <c r="AI117" s="29">
        <f>Table13[[#This Row],[user profit (death benefit - debt)]]*Table13[[#This Row],[Unconditional mortality NOW]]/Table13[[#This Row],[discouter with yield curve]]</f>
        <v>-8.4036358764839531E-8</v>
      </c>
      <c r="AJ117" s="29">
        <f>(1+$D$4)^(Table13[[#This Row],[age since issue]]-$B$11)</f>
        <v>1.4025769861695727</v>
      </c>
      <c r="AK117" s="57">
        <f>Table13[[#This Row],[level premium marked up]]*Table13[[#This Row],[unconditional survival NOW]]</f>
        <v>4.6413859565687111E-10</v>
      </c>
      <c r="AL117" s="62">
        <f>Table13[[#This Row],[cumulative debt until t]]*Table13[[#This Row],[Unconditional mortality NOW]]</f>
        <v>3.516800168854318E-7</v>
      </c>
      <c r="AM117" s="47">
        <f>Table13[[#This Row],[probablistic premium stream]]/Table13[[#This Row],[lender discounter]]</f>
        <v>3.3091844528579507E-10</v>
      </c>
      <c r="AN117" s="58">
        <f>Table13[[#This Row],[probablistic repay from borrower]]/Table13[[#This Row],[lender discounter]]</f>
        <v>2.5073847664210382E-7</v>
      </c>
      <c r="AO117" s="47">
        <f>(Table13[[#This Row],[probablistic repay from borrower]]-Table13[[#This Row],[probablistic premium stream]])/Table13[[#This Row],[lender discounter]]</f>
        <v>2.5040755819681802E-7</v>
      </c>
      <c r="AP117" s="46">
        <f>AP116*(1+$D$4)+ Table13[[#This Row],[level premium marked up]]</f>
        <v>0.10255090102100543</v>
      </c>
      <c r="AQ117" s="58">
        <f>AP117*Table13[[#This Row],[Unconditional mortality NOW]]</f>
        <v>1.9336141813113467E-8</v>
      </c>
      <c r="AR117" s="60">
        <f>Table13[[#This Row],[cumulative debt until t]]*Table13[[#This Row],[Unconditional mortality NOW]]</f>
        <v>3.516800168854318E-7</v>
      </c>
      <c r="AS117" s="58">
        <f>Table13[[#This Row],[lender to pay cumulative probablistic undiscounted]]/Table13[[#This Row],[lender discounter]]</f>
        <v>1.3786153632764448E-8</v>
      </c>
    </row>
    <row r="118" spans="1:45" s="3" customFormat="1">
      <c r="A118" s="3">
        <v>122</v>
      </c>
      <c r="B118" s="8">
        <v>3.2000000000000001E-2</v>
      </c>
      <c r="C118" s="3">
        <v>0</v>
      </c>
      <c r="D118" s="12">
        <v>3.2000000000000001E-2</v>
      </c>
      <c r="E118" s="66">
        <v>0.99999999989999999</v>
      </c>
      <c r="F118" s="13">
        <f>1-Table13[[#This Row],[one-year conditional mortality AT ISSUE]]</f>
        <v>1.000000082740371E-10</v>
      </c>
      <c r="G118" s="13">
        <f>PRODUCT(F$17:F118)</f>
        <v>1.0117497508257051E-31</v>
      </c>
      <c r="H118" s="13">
        <f>Table13[[#This Row],[one-year conditional survival AT ISSUE]]*(1-Table13[[#This Row],[Lapse rate]])</f>
        <v>9.6800008009267909E-11</v>
      </c>
      <c r="I118" s="13">
        <f>PRODUCT(H$17:H118)</f>
        <v>2.4898790465637294E-33</v>
      </c>
      <c r="J118" s="13">
        <f>G117*Table13[[#This Row],[one-year conditional mortality AT ISSUE]]</f>
        <v>1.0117496670119874E-21</v>
      </c>
      <c r="K118" s="10">
        <f>I117*Table13[[#This Row],[one-year conditional mortality AT ISSUE]]</f>
        <v>2.5721888846087215E-23</v>
      </c>
      <c r="L118" s="3">
        <f t="shared" si="1"/>
        <v>2.4615991981893799E-3</v>
      </c>
      <c r="M118" s="44">
        <f>Table13[[#This Row],[Death benefit pay probability]]/Table13[[#This Row],[unconditional persistency AT ISSUE]]</f>
        <v>10330577656.607807</v>
      </c>
      <c r="N118" s="44">
        <f>Table13[[#This Row],[one-year conditional mortality AT ISSUE]]/Table13[[#This Row],[one-year conditional persistency AT ISSUE]]</f>
        <v>10330577656.607809</v>
      </c>
      <c r="O118" s="4">
        <f>(1+$B$14)^(Table13[[#This Row],[age since issue]]-$A$17)</f>
        <v>32.283107262518222</v>
      </c>
      <c r="P118" s="5">
        <f>(Table13[[#This Row],[level premium unmarked-up]]*Table13[[#This Row],[unconditional persistency AT ISSUE]]-Table13[[#This Row],[Death benefit pay probability]])</f>
        <v>-2.5721888846081084E-23</v>
      </c>
      <c r="Q118" s="4">
        <f>Table13[[#This Row],[Issuer profit with unmarked-up level premium]]/Table13[[#This Row],[Issuer discounter at issue]]</f>
        <v>-7.9676000940420829E-25</v>
      </c>
      <c r="R118" s="4">
        <f>(Table13[[#This Row],[variable premium unmarked up]]*Table13[[#This Row],[unconditional persistency AT ISSUE]]-Table13[[#This Row],[Death benefit pay probability]])</f>
        <v>-2.9387358770557188E-39</v>
      </c>
      <c r="S118" s="6">
        <f>Table13[[#This Row],[level premium unmarked-up]]*(1+$B$15)</f>
        <v>2.4615991981893799E-3</v>
      </c>
      <c r="T118" s="6">
        <f>MIN(Table13[[#This Row],[variable premium unmarked up]]*(1+$B$15),1)</f>
        <v>1</v>
      </c>
      <c r="U118" s="6">
        <f>Table13[[#This Row],[level premium marked up]]-Table13[[#This Row],[variable premium marked up]]</f>
        <v>-0.99753840080181067</v>
      </c>
      <c r="V118" s="6">
        <f>Table13[[#This Row],[additional cash]]+V117*(1+$D$2)</f>
        <v>-24.818749023317512</v>
      </c>
      <c r="W118" s="12">
        <v>4.4799999999999996E-3</v>
      </c>
      <c r="X118" s="13">
        <f>1-Table13[[#This Row],[one-year conditional mortality NOW]]</f>
        <v>0.99551999999999996</v>
      </c>
      <c r="Y118" s="49">
        <f>PRODUCT(X$17:X118)</f>
        <v>1.8770694071081686E-7</v>
      </c>
      <c r="Z118" s="13">
        <f>Table13[[#This Row],[one-year conditional survival NOW]]*(1-Table13[[#This Row],[Lapse rate]])</f>
        <v>0.96366335999999997</v>
      </c>
      <c r="AA118" s="13">
        <f>PRODUCT(Z$17:Z118)</f>
        <v>6.0133687636085642E-8</v>
      </c>
      <c r="AB118" s="50">
        <f>Y117*Table13[[#This Row],[one-year conditional mortality NOW]]</f>
        <v>8.4471140146301388E-10</v>
      </c>
      <c r="AC118" s="14">
        <v>1.9699999999999999E-2</v>
      </c>
      <c r="AD118" s="28">
        <f>(1+Table13[[#This Row],[Yield curve now]])^(Table13[[#This Row],[age since issue]]-$B$11)</f>
        <v>1.9794050575734816</v>
      </c>
      <c r="AE118" s="46">
        <f t="shared" si="3"/>
        <v>2.1361084944891342</v>
      </c>
      <c r="AF118" s="42">
        <f>1-Table13[[#This Row],[cumulative debt until t]]</f>
        <v>-1.1361084944891342</v>
      </c>
      <c r="AG118" s="46">
        <f>Table13[[#This Row],[cumulative debt until t]]*Table13[[#This Row],[Unconditional mortality NOW]]/Table13[[#This Row],[discouter with yield curve]]</f>
        <v>9.1158461637404425E-10</v>
      </c>
      <c r="AH118" s="48">
        <f>Table13[[#This Row],[Unconditional mortality NOW]]/Table13[[#This Row],[discouter with yield curve]]</f>
        <v>4.2675014809678769E-10</v>
      </c>
      <c r="AI118" s="29">
        <f>Table13[[#This Row],[user profit (death benefit - debt)]]*Table13[[#This Row],[Unconditional mortality NOW]]/Table13[[#This Row],[discouter with yield curve]]</f>
        <v>-4.8483446827725651E-10</v>
      </c>
      <c r="AJ118" s="29">
        <f>(1+$D$4)^(Table13[[#This Row],[age since issue]]-$B$11)</f>
        <v>1.4166027560312682</v>
      </c>
      <c r="AK118" s="57">
        <f>Table13[[#This Row],[level premium marked up]]*Table13[[#This Row],[unconditional survival NOW]]</f>
        <v>4.6205925474832828E-10</v>
      </c>
      <c r="AL118" s="62">
        <f>Table13[[#This Row],[cumulative debt until t]]*Table13[[#This Row],[Unconditional mortality NOW]]</f>
        <v>1.8043952000569653E-9</v>
      </c>
      <c r="AM118" s="47">
        <f>Table13[[#This Row],[probablistic premium stream]]/Table13[[#This Row],[lender discounter]]</f>
        <v>3.2617418876328193E-10</v>
      </c>
      <c r="AN118" s="58">
        <f>Table13[[#This Row],[probablistic repay from borrower]]/Table13[[#This Row],[lender discounter]]</f>
        <v>1.2737481925505569E-9</v>
      </c>
      <c r="AO118" s="47">
        <f>(Table13[[#This Row],[probablistic repay from borrower]]-Table13[[#This Row],[probablistic premium stream]])/Table13[[#This Row],[lender discounter]]</f>
        <v>9.4757400378727487E-10</v>
      </c>
      <c r="AP118" s="46">
        <f>AP117*(1+$D$4)+ Table13[[#This Row],[level premium marked up]]</f>
        <v>0.10603800922940486</v>
      </c>
      <c r="AQ118" s="58">
        <f>AP118*Table13[[#This Row],[Unconditional mortality NOW]]</f>
        <v>8.9571515384518575E-11</v>
      </c>
      <c r="AR118" s="60">
        <f>Table13[[#This Row],[cumulative debt until t]]*Table13[[#This Row],[Unconditional mortality NOW]]</f>
        <v>1.8043952000569653E-9</v>
      </c>
      <c r="AS118" s="58">
        <f>Table13[[#This Row],[lender to pay cumulative probablistic undiscounted]]/Table13[[#This Row],[lender discounter]]</f>
        <v>6.3229804546943506E-11</v>
      </c>
    </row>
    <row r="119" spans="1:45" s="3" customFormat="1">
      <c r="A119" s="3">
        <v>123</v>
      </c>
      <c r="B119" s="8">
        <v>3.2000000000000001E-2</v>
      </c>
      <c r="C119" s="3">
        <v>0</v>
      </c>
      <c r="D119" s="12">
        <v>3.2000000000000001E-2</v>
      </c>
      <c r="E119" s="66">
        <v>0.99999999989999999</v>
      </c>
      <c r="F119" s="13">
        <f>1-Table13[[#This Row],[one-year conditional mortality AT ISSUE]]</f>
        <v>1.000000082740371E-10</v>
      </c>
      <c r="G119" s="13">
        <f>PRODUCT(F$17:F119)</f>
        <v>1.0117498345382549E-41</v>
      </c>
      <c r="H119" s="13">
        <f>Table13[[#This Row],[one-year conditional survival AT ISSUE]]*(1-Table13[[#This Row],[Lapse rate]])</f>
        <v>9.6800008009267909E-11</v>
      </c>
      <c r="I119" s="13">
        <f>PRODUCT(H$17:H119)</f>
        <v>2.4102031164947737E-43</v>
      </c>
      <c r="J119" s="13">
        <f>G118*Table13[[#This Row],[one-year conditional mortality AT ISSUE]]</f>
        <v>1.0117497507245301E-31</v>
      </c>
      <c r="K119" s="10">
        <f>I118*Table13[[#This Row],[one-year conditional mortality AT ISSUE]]</f>
        <v>2.4898790463147413E-33</v>
      </c>
      <c r="L119" s="3">
        <f t="shared" si="1"/>
        <v>2.4615991981893799E-3</v>
      </c>
      <c r="M119" s="44">
        <f>Table13[[#This Row],[Death benefit pay probability]]/Table13[[#This Row],[unconditional persistency AT ISSUE]]</f>
        <v>10330577656.607807</v>
      </c>
      <c r="N119" s="44">
        <f>Table13[[#This Row],[one-year conditional mortality AT ISSUE]]/Table13[[#This Row],[one-year conditional persistency AT ISSUE]]</f>
        <v>10330577656.607809</v>
      </c>
      <c r="O119" s="4">
        <f>(1+$B$14)^(Table13[[#This Row],[age since issue]]-$A$17)</f>
        <v>33.413016016706365</v>
      </c>
      <c r="P119" s="5">
        <f>(Table13[[#This Row],[level premium unmarked-up]]*Table13[[#This Row],[unconditional persistency AT ISSUE]]-Table13[[#This Row],[Death benefit pay probability]])</f>
        <v>-2.4898790463141481E-33</v>
      </c>
      <c r="Q119" s="4">
        <f>Table13[[#This Row],[Issuer profit with unmarked-up level premium]]/Table13[[#This Row],[Issuer discounter at issue]]</f>
        <v>-7.4518236996900231E-35</v>
      </c>
      <c r="R119" s="4">
        <f>(Table13[[#This Row],[variable premium unmarked up]]*Table13[[#This Row],[unconditional persistency AT ISSUE]]-Table13[[#This Row],[Death benefit pay probability]])</f>
        <v>0</v>
      </c>
      <c r="S119" s="6">
        <f>Table13[[#This Row],[level premium unmarked-up]]*(1+$B$15)</f>
        <v>2.4615991981893799E-3</v>
      </c>
      <c r="T119" s="6">
        <f>MIN(Table13[[#This Row],[variable premium unmarked up]]*(1+$B$15),1)</f>
        <v>1</v>
      </c>
      <c r="U119" s="6">
        <f>Table13[[#This Row],[level premium marked up]]-Table13[[#This Row],[variable premium marked up]]</f>
        <v>-0.99753840080181067</v>
      </c>
      <c r="V119" s="6">
        <f>Table13[[#This Row],[additional cash]]+V118*(1+$D$2)</f>
        <v>-25.841106173142638</v>
      </c>
      <c r="W119" s="12">
        <v>4.9899999999999996E-3</v>
      </c>
      <c r="X119" s="13">
        <f>1-Table13[[#This Row],[one-year conditional mortality NOW]]</f>
        <v>0.99500999999999995</v>
      </c>
      <c r="Y119" s="49">
        <f>PRODUCT(X$17:X119)</f>
        <v>1.8677028307666987E-7</v>
      </c>
      <c r="Z119" s="13">
        <f>Table13[[#This Row],[one-year conditional survival NOW]]*(1-Table13[[#This Row],[Lapse rate]])</f>
        <v>0.96316967999999992</v>
      </c>
      <c r="AA119" s="13">
        <f>PRODUCT(Z$17:Z119)</f>
        <v>5.7918944677668557E-8</v>
      </c>
      <c r="AB119" s="50">
        <f>Y118*Table13[[#This Row],[one-year conditional mortality NOW]]</f>
        <v>9.3665763414697605E-10</v>
      </c>
      <c r="AC119" s="14">
        <v>1.9699999999999999E-2</v>
      </c>
      <c r="AD119" s="28">
        <f>(1+Table13[[#This Row],[Yield curve now]])^(Table13[[#This Row],[age since issue]]-$B$11)</f>
        <v>2.0183993372076796</v>
      </c>
      <c r="AE119" s="46">
        <f t="shared" si="3"/>
        <v>2.4460011312969026</v>
      </c>
      <c r="AF119" s="42">
        <f>1-Table13[[#This Row],[cumulative debt until t]]</f>
        <v>-1.4460011312969026</v>
      </c>
      <c r="AG119" s="46">
        <f>Table13[[#This Row],[cumulative debt until t]]*Table13[[#This Row],[Unconditional mortality NOW]]/Table13[[#This Row],[discouter with yield curve]]</f>
        <v>1.1350903612220363E-9</v>
      </c>
      <c r="AH119" s="48">
        <f>Table13[[#This Row],[Unconditional mortality NOW]]/Table13[[#This Row],[discouter with yield curve]]</f>
        <v>4.6405962233557766E-10</v>
      </c>
      <c r="AI119" s="29">
        <f>Table13[[#This Row],[user profit (death benefit - debt)]]*Table13[[#This Row],[Unconditional mortality NOW]]/Table13[[#This Row],[discouter with yield curve]]</f>
        <v>-6.7103073888645866E-10</v>
      </c>
      <c r="AJ119" s="29">
        <f>(1+$D$4)^(Table13[[#This Row],[age since issue]]-$B$11)</f>
        <v>1.430768783591581</v>
      </c>
      <c r="AK119" s="57">
        <f>Table13[[#This Row],[level premium marked up]]*Table13[[#This Row],[unconditional survival NOW]]</f>
        <v>4.5975357906713405E-10</v>
      </c>
      <c r="AL119" s="62">
        <f>Table13[[#This Row],[cumulative debt until t]]*Table13[[#This Row],[Unconditional mortality NOW]]</f>
        <v>2.2910656327613839E-9</v>
      </c>
      <c r="AM119" s="47">
        <f>Table13[[#This Row],[probablistic premium stream]]/Table13[[#This Row],[lender discounter]]</f>
        <v>3.2133324709044857E-10</v>
      </c>
      <c r="AN119" s="58">
        <f>Table13[[#This Row],[probablistic repay from borrower]]/Table13[[#This Row],[lender discounter]]</f>
        <v>1.6012829319704938E-9</v>
      </c>
      <c r="AO119" s="47">
        <f>(Table13[[#This Row],[probablistic repay from borrower]]-Table13[[#This Row],[probablistic premium stream]])/Table13[[#This Row],[lender discounter]]</f>
        <v>1.2799496848800452E-9</v>
      </c>
      <c r="AP119" s="46">
        <f>AP118*(1+$D$4)+ Table13[[#This Row],[level premium marked up]]</f>
        <v>0.10955998851988828</v>
      </c>
      <c r="AQ119" s="58">
        <f>AP119*Table13[[#This Row],[Unconditional mortality NOW]]</f>
        <v>1.0262019964420841E-10</v>
      </c>
      <c r="AR119" s="60">
        <f>Table13[[#This Row],[cumulative debt until t]]*Table13[[#This Row],[Unconditional mortality NOW]]</f>
        <v>2.2910656327613839E-9</v>
      </c>
      <c r="AS119" s="58">
        <f>Table13[[#This Row],[lender to pay cumulative probablistic undiscounted]]/Table13[[#This Row],[lender discounter]]</f>
        <v>7.1723817867067596E-11</v>
      </c>
    </row>
    <row r="120" spans="1:45" s="3" customFormat="1">
      <c r="A120" s="3">
        <v>124</v>
      </c>
      <c r="B120" s="8">
        <v>3.2000000000000001E-2</v>
      </c>
      <c r="C120" s="3">
        <v>0</v>
      </c>
      <c r="D120" s="12">
        <v>3.2000000000000001E-2</v>
      </c>
      <c r="E120" s="66">
        <v>0.99999999989999999</v>
      </c>
      <c r="F120" s="13">
        <f>1-Table13[[#This Row],[one-year conditional mortality AT ISSUE]]</f>
        <v>1.000000082740371E-10</v>
      </c>
      <c r="G120" s="13">
        <f>PRODUCT(F$17:F120)</f>
        <v>1.0117499182508116E-51</v>
      </c>
      <c r="H120" s="13">
        <f>Table13[[#This Row],[one-year conditional survival AT ISSUE]]*(1-Table13[[#This Row],[Lapse rate]])</f>
        <v>9.6800008009267909E-11</v>
      </c>
      <c r="I120" s="13">
        <f>PRODUCT(H$17:H120)</f>
        <v>2.3330768098065655E-53</v>
      </c>
      <c r="J120" s="13">
        <f>G119*Table13[[#This Row],[one-year conditional mortality AT ISSUE]]</f>
        <v>1.01174983443708E-41</v>
      </c>
      <c r="K120" s="10">
        <f>I119*Table13[[#This Row],[one-year conditional mortality AT ISSUE]]</f>
        <v>2.4102031162537532E-43</v>
      </c>
      <c r="L120" s="3">
        <f t="shared" si="1"/>
        <v>2.4615991981893799E-3</v>
      </c>
      <c r="M120" s="44">
        <f>Table13[[#This Row],[Death benefit pay probability]]/Table13[[#This Row],[unconditional persistency AT ISSUE]]</f>
        <v>10330577656.607809</v>
      </c>
      <c r="N120" s="44">
        <f>Table13[[#This Row],[one-year conditional mortality AT ISSUE]]/Table13[[#This Row],[one-year conditional persistency AT ISSUE]]</f>
        <v>10330577656.607809</v>
      </c>
      <c r="O120" s="4">
        <f>(1+$B$14)^(Table13[[#This Row],[age since issue]]-$A$17)</f>
        <v>34.582471577291081</v>
      </c>
      <c r="P120" s="5">
        <f>(Table13[[#This Row],[level premium unmarked-up]]*Table13[[#This Row],[unconditional persistency AT ISSUE]]-Table13[[#This Row],[Death benefit pay probability]])</f>
        <v>-2.4102031162531789E-43</v>
      </c>
      <c r="Q120" s="4">
        <f>Table13[[#This Row],[Issuer profit with unmarked-up level premium]]/Table13[[#This Row],[Issuer discounter at issue]]</f>
        <v>-6.9694356890207423E-45</v>
      </c>
      <c r="R120" s="4">
        <f>(Table13[[#This Row],[variable premium unmarked up]]*Table13[[#This Row],[unconditional persistency AT ISSUE]]-Table13[[#This Row],[Death benefit pay probability]])</f>
        <v>0</v>
      </c>
      <c r="S120" s="6">
        <f>Table13[[#This Row],[level premium unmarked-up]]*(1+$B$15)</f>
        <v>2.4615991981893799E-3</v>
      </c>
      <c r="T120" s="6">
        <f>MIN(Table13[[#This Row],[variable premium unmarked up]]*(1+$B$15),1)</f>
        <v>1</v>
      </c>
      <c r="U120" s="6">
        <f>Table13[[#This Row],[level premium marked up]]-Table13[[#This Row],[variable premium marked up]]</f>
        <v>-0.99753840080181067</v>
      </c>
      <c r="V120" s="6">
        <f>Table13[[#This Row],[additional cash]]+V119*(1+$D$2)</f>
        <v>-26.864485680117589</v>
      </c>
      <c r="W120" s="12">
        <v>5.5599999999999998E-3</v>
      </c>
      <c r="X120" s="13">
        <f>1-Table13[[#This Row],[one-year conditional mortality NOW]]</f>
        <v>0.99443999999999999</v>
      </c>
      <c r="Y120" s="49">
        <f>PRODUCT(X$17:X120)</f>
        <v>1.8573184030276358E-7</v>
      </c>
      <c r="Z120" s="13">
        <f>Table13[[#This Row],[one-year conditional survival NOW]]*(1-Table13[[#This Row],[Lapse rate]])</f>
        <v>0.96261792000000002</v>
      </c>
      <c r="AA120" s="13">
        <f>PRODUCT(Z$17:Z120)</f>
        <v>5.5753814054212376E-8</v>
      </c>
      <c r="AB120" s="50">
        <f>Y119*Table13[[#This Row],[one-year conditional mortality NOW]]</f>
        <v>1.0384427739062845E-9</v>
      </c>
      <c r="AC120" s="14">
        <v>1.9699999999999999E-2</v>
      </c>
      <c r="AD120" s="28">
        <f>(1+Table13[[#This Row],[Yield curve now]])^(Table13[[#This Row],[age since issue]]-$B$11)</f>
        <v>2.0581618041506711</v>
      </c>
      <c r="AE120" s="46">
        <f t="shared" si="3"/>
        <v>2.8004425136251485</v>
      </c>
      <c r="AF120" s="42">
        <f>1-Table13[[#This Row],[cumulative debt until t]]</f>
        <v>-1.8004425136251485</v>
      </c>
      <c r="AG120" s="46">
        <f>Table13[[#This Row],[cumulative debt until t]]*Table13[[#This Row],[Unconditional mortality NOW]]/Table13[[#This Row],[discouter with yield curve]]</f>
        <v>1.4129595088924771E-9</v>
      </c>
      <c r="AH120" s="48">
        <f>Table13[[#This Row],[Unconditional mortality NOW]]/Table13[[#This Row],[discouter with yield curve]]</f>
        <v>5.0454865687045056E-10</v>
      </c>
      <c r="AI120" s="29">
        <f>Table13[[#This Row],[user profit (death benefit - debt)]]*Table13[[#This Row],[Unconditional mortality NOW]]/Table13[[#This Row],[discouter with yield curve]]</f>
        <v>-9.084108520220266E-10</v>
      </c>
      <c r="AJ120" s="29">
        <f>(1+$D$4)^(Table13[[#This Row],[age since issue]]-$B$11)</f>
        <v>1.4450764714274968</v>
      </c>
      <c r="AK120" s="57">
        <f>Table13[[#This Row],[level premium marked up]]*Table13[[#This Row],[unconditional survival NOW]]</f>
        <v>4.571973491675208E-10</v>
      </c>
      <c r="AL120" s="62">
        <f>Table13[[#This Row],[cumulative debt until t]]*Table13[[#This Row],[Unconditional mortality NOW]]</f>
        <v>2.9080992920139869E-9</v>
      </c>
      <c r="AM120" s="47">
        <f>Table13[[#This Row],[probablistic premium stream]]/Table13[[#This Row],[lender discounter]]</f>
        <v>3.1638280617487692E-10</v>
      </c>
      <c r="AN120" s="58">
        <f>Table13[[#This Row],[probablistic repay from borrower]]/Table13[[#This Row],[lender discounter]]</f>
        <v>2.0124189615662796E-9</v>
      </c>
      <c r="AO120" s="47">
        <f>(Table13[[#This Row],[probablistic repay from borrower]]-Table13[[#This Row],[probablistic premium stream]])/Table13[[#This Row],[lender discounter]]</f>
        <v>1.6960361553914028E-9</v>
      </c>
      <c r="AP120" s="46">
        <f>AP119*(1+$D$4)+ Table13[[#This Row],[level premium marked up]]</f>
        <v>0.11311718760327655</v>
      </c>
      <c r="AQ120" s="58">
        <f>AP120*Table13[[#This Row],[Unconditional mortality NOW]]</f>
        <v>1.1746572607122406E-10</v>
      </c>
      <c r="AR120" s="60">
        <f>Table13[[#This Row],[cumulative debt until t]]*Table13[[#This Row],[Unconditional mortality NOW]]</f>
        <v>2.9080992920139869E-9</v>
      </c>
      <c r="AS120" s="58">
        <f>Table13[[#This Row],[lender to pay cumulative probablistic undiscounted]]/Table13[[#This Row],[lender discounter]]</f>
        <v>8.1286858096296677E-11</v>
      </c>
    </row>
    <row r="121" spans="1:45" s="3" customFormat="1">
      <c r="A121" s="3">
        <v>125</v>
      </c>
      <c r="B121" s="8">
        <v>3.2000000000000001E-2</v>
      </c>
      <c r="C121" s="3">
        <v>0</v>
      </c>
      <c r="D121" s="12">
        <v>3.2000000000000001E-2</v>
      </c>
      <c r="E121" s="66">
        <v>0.99999999989999999</v>
      </c>
      <c r="F121" s="13">
        <f>1-Table13[[#This Row],[one-year conditional mortality AT ISSUE]]</f>
        <v>1.000000082740371E-10</v>
      </c>
      <c r="G121" s="13">
        <f>PRODUCT(F$17:F121)</f>
        <v>1.0117500019633752E-61</v>
      </c>
      <c r="H121" s="13">
        <f>Table13[[#This Row],[one-year conditional survival AT ISSUE]]*(1-Table13[[#This Row],[Lapse rate]])</f>
        <v>9.6800008009267909E-11</v>
      </c>
      <c r="I121" s="13">
        <f>PRODUCT(H$17:H121)</f>
        <v>2.2584185387551275E-63</v>
      </c>
      <c r="J121" s="13">
        <f>G120*Table13[[#This Row],[one-year conditional mortality AT ISSUE]]</f>
        <v>1.0117499181496366E-51</v>
      </c>
      <c r="K121" s="10">
        <f>I120*Table13[[#This Row],[one-year conditional mortality AT ISSUE]]</f>
        <v>2.3330768095732578E-53</v>
      </c>
      <c r="L121" s="3">
        <f t="shared" si="1"/>
        <v>2.4615991981893799E-3</v>
      </c>
      <c r="M121" s="44">
        <f>Table13[[#This Row],[Death benefit pay probability]]/Table13[[#This Row],[unconditional persistency AT ISSUE]]</f>
        <v>10330577656.607809</v>
      </c>
      <c r="N121" s="44">
        <f>Table13[[#This Row],[one-year conditional mortality AT ISSUE]]/Table13[[#This Row],[one-year conditional persistency AT ISSUE]]</f>
        <v>10330577656.607809</v>
      </c>
      <c r="O121" s="4">
        <f>(1+$B$14)^(Table13[[#This Row],[age since issue]]-$A$17)</f>
        <v>35.792858082496259</v>
      </c>
      <c r="P121" s="5">
        <f>(Table13[[#This Row],[level premium unmarked-up]]*Table13[[#This Row],[unconditional persistency AT ISSUE]]-Table13[[#This Row],[Death benefit pay probability]])</f>
        <v>-2.3330768095727019E-53</v>
      </c>
      <c r="Q121" s="4">
        <f>Table13[[#This Row],[Issuer profit with unmarked-up level premium]]/Table13[[#This Row],[Issuer discounter at issue]]</f>
        <v>-6.5182746909882666E-55</v>
      </c>
      <c r="R121" s="4">
        <f>(Table13[[#This Row],[variable premium unmarked up]]*Table13[[#This Row],[unconditional persistency AT ISSUE]]-Table13[[#This Row],[Death benefit pay probability]])</f>
        <v>0</v>
      </c>
      <c r="S121" s="6">
        <f>Table13[[#This Row],[level premium unmarked-up]]*(1+$B$15)</f>
        <v>2.4615991981893799E-3</v>
      </c>
      <c r="T121" s="6">
        <f>MIN(Table13[[#This Row],[variable premium unmarked up]]*(1+$B$15),1)</f>
        <v>1</v>
      </c>
      <c r="U121" s="6">
        <f>Table13[[#This Row],[level premium marked up]]-Table13[[#This Row],[variable premium marked up]]</f>
        <v>-0.99753840080181067</v>
      </c>
      <c r="V121" s="6">
        <f>Table13[[#This Row],[additional cash]]+V120*(1+$D$2)</f>
        <v>-27.888888566599515</v>
      </c>
      <c r="W121" s="12">
        <v>6.1999999999999998E-3</v>
      </c>
      <c r="X121" s="13">
        <f>1-Table13[[#This Row],[one-year conditional mortality NOW]]</f>
        <v>0.99380000000000002</v>
      </c>
      <c r="Y121" s="49">
        <f>PRODUCT(X$17:X121)</f>
        <v>1.8458030289288645E-7</v>
      </c>
      <c r="Z121" s="13">
        <f>Table13[[#This Row],[one-year conditional survival NOW]]*(1-Table13[[#This Row],[Lapse rate]])</f>
        <v>0.96199840000000003</v>
      </c>
      <c r="AA121" s="13">
        <f>PRODUCT(Z$17:Z121)</f>
        <v>5.3635079914049822E-8</v>
      </c>
      <c r="AB121" s="50">
        <f>Y120*Table13[[#This Row],[one-year conditional mortality NOW]]</f>
        <v>1.1515374098771341E-9</v>
      </c>
      <c r="AC121" s="14">
        <v>1.9699999999999999E-2</v>
      </c>
      <c r="AD121" s="28">
        <f>(1+Table13[[#This Row],[Yield curve now]])^(Table13[[#This Row],[age since issue]]-$B$11)</f>
        <v>2.0987075916924391</v>
      </c>
      <c r="AE121" s="46">
        <f t="shared" si="3"/>
        <v>3.2058367650048205</v>
      </c>
      <c r="AF121" s="42">
        <f>1-Table13[[#This Row],[cumulative debt until t]]</f>
        <v>-2.2058367650048205</v>
      </c>
      <c r="AG121" s="46">
        <f>Table13[[#This Row],[cumulative debt until t]]*Table13[[#This Row],[Unconditional mortality NOW]]/Table13[[#This Row],[discouter with yield curve]]</f>
        <v>1.7590068189945078E-9</v>
      </c>
      <c r="AH121" s="48">
        <f>Table13[[#This Row],[Unconditional mortality NOW]]/Table13[[#This Row],[discouter with yield curve]]</f>
        <v>5.4868882851303341E-10</v>
      </c>
      <c r="AI121" s="29">
        <f>Table13[[#This Row],[user profit (death benefit - debt)]]*Table13[[#This Row],[Unconditional mortality NOW]]/Table13[[#This Row],[discouter with yield curve]]</f>
        <v>-1.2103179904814743E-9</v>
      </c>
      <c r="AJ121" s="29">
        <f>(1+$D$4)^(Table13[[#This Row],[age since issue]]-$B$11)</f>
        <v>1.4595272361417719</v>
      </c>
      <c r="AK121" s="57">
        <f>Table13[[#This Row],[level premium marked up]]*Table13[[#This Row],[unconditional survival NOW]]</f>
        <v>4.5436272560268215E-10</v>
      </c>
      <c r="AL121" s="62">
        <f>Table13[[#This Row],[cumulative debt until t]]*Table13[[#This Row],[Unconditional mortality NOW]]</f>
        <v>3.6916409648625415E-9</v>
      </c>
      <c r="AM121" s="47">
        <f>Table13[[#This Row],[probablistic premium stream]]/Table13[[#This Row],[lender discounter]]</f>
        <v>3.1130815126395313E-10</v>
      </c>
      <c r="AN121" s="58">
        <f>Table13[[#This Row],[probablistic repay from borrower]]/Table13[[#This Row],[lender discounter]]</f>
        <v>2.5293402366517757E-9</v>
      </c>
      <c r="AO121" s="47">
        <f>(Table13[[#This Row],[probablistic repay from borrower]]-Table13[[#This Row],[probablistic premium stream]])/Table13[[#This Row],[lender discounter]]</f>
        <v>2.2180320853878225E-9</v>
      </c>
      <c r="AP121" s="46">
        <f>AP120*(1+$D$4)+ Table13[[#This Row],[level premium marked up]]</f>
        <v>0.11670995867749868</v>
      </c>
      <c r="AQ121" s="58">
        <f>AP121*Table13[[#This Row],[Unconditional mortality NOW]]</f>
        <v>1.343958835223542E-10</v>
      </c>
      <c r="AR121" s="60">
        <f>Table13[[#This Row],[cumulative debt until t]]*Table13[[#This Row],[Unconditional mortality NOW]]</f>
        <v>3.6916409648625415E-9</v>
      </c>
      <c r="AS121" s="58">
        <f>Table13[[#This Row],[lender to pay cumulative probablistic undiscounted]]/Table13[[#This Row],[lender discounter]]</f>
        <v>9.208179209976701E-11</v>
      </c>
    </row>
    <row r="122" spans="1:45" s="3" customFormat="1">
      <c r="A122" s="3">
        <v>126</v>
      </c>
      <c r="B122" s="8">
        <v>3.2000000000000001E-2</v>
      </c>
      <c r="C122" s="3">
        <v>0</v>
      </c>
      <c r="D122" s="12">
        <v>3.2000000000000001E-2</v>
      </c>
      <c r="E122" s="66">
        <v>0.99999999989999999</v>
      </c>
      <c r="F122" s="13">
        <f>1-Table13[[#This Row],[one-year conditional mortality AT ISSUE]]</f>
        <v>1.000000082740371E-10</v>
      </c>
      <c r="G122" s="13">
        <f>PRODUCT(F$17:F122)</f>
        <v>1.0117500856759458E-71</v>
      </c>
      <c r="H122" s="13">
        <f>Table13[[#This Row],[one-year conditional survival AT ISSUE]]*(1-Table13[[#This Row],[Lapse rate]])</f>
        <v>9.6800008009267909E-11</v>
      </c>
      <c r="I122" s="13">
        <f>PRODUCT(H$17:H122)</f>
        <v>2.1861493263977547E-73</v>
      </c>
      <c r="J122" s="13">
        <f>G121*Table13[[#This Row],[one-year conditional mortality AT ISSUE]]</f>
        <v>1.0117500018622003E-61</v>
      </c>
      <c r="K122" s="10">
        <f>I121*Table13[[#This Row],[one-year conditional mortality AT ISSUE]]</f>
        <v>2.2584185385292858E-63</v>
      </c>
      <c r="L122" s="3">
        <f t="shared" si="1"/>
        <v>2.4615991981893799E-3</v>
      </c>
      <c r="M122" s="44">
        <f>Table13[[#This Row],[Death benefit pay probability]]/Table13[[#This Row],[unconditional persistency AT ISSUE]]</f>
        <v>10330577656.607809</v>
      </c>
      <c r="N122" s="44">
        <f>Table13[[#This Row],[one-year conditional mortality AT ISSUE]]/Table13[[#This Row],[one-year conditional persistency AT ISSUE]]</f>
        <v>10330577656.607809</v>
      </c>
      <c r="O122" s="4">
        <f>(1+$B$14)^(Table13[[#This Row],[age since issue]]-$A$17)</f>
        <v>37.045608115383622</v>
      </c>
      <c r="P122" s="5">
        <f>(Table13[[#This Row],[level premium unmarked-up]]*Table13[[#This Row],[unconditional persistency AT ISSUE]]-Table13[[#This Row],[Death benefit pay probability]])</f>
        <v>-2.2584185385287476E-63</v>
      </c>
      <c r="Q122" s="4">
        <f>Table13[[#This Row],[Issuer profit with unmarked-up level premium]]/Table13[[#This Row],[Issuer discounter at issue]]</f>
        <v>-6.0963192492200251E-65</v>
      </c>
      <c r="R122" s="4">
        <f>(Table13[[#This Row],[variable premium unmarked up]]*Table13[[#This Row],[unconditional persistency AT ISSUE]]-Table13[[#This Row],[Death benefit pay probability]])</f>
        <v>0</v>
      </c>
      <c r="S122" s="6">
        <f>Table13[[#This Row],[level premium unmarked-up]]*(1+$B$15)</f>
        <v>2.4615991981893799E-3</v>
      </c>
      <c r="T122" s="6">
        <f>MIN(Table13[[#This Row],[variable premium unmarked up]]*(1+$B$15),1)</f>
        <v>1</v>
      </c>
      <c r="U122" s="6">
        <f>Table13[[#This Row],[level premium marked up]]-Table13[[#This Row],[variable premium marked up]]</f>
        <v>-0.99753840080181067</v>
      </c>
      <c r="V122" s="6">
        <f>Table13[[#This Row],[additional cash]]+V121*(1+$D$2)</f>
        <v>-28.914315855967924</v>
      </c>
      <c r="W122" s="12">
        <v>6.8799999999999998E-3</v>
      </c>
      <c r="X122" s="13">
        <f>1-Table13[[#This Row],[one-year conditional mortality NOW]]</f>
        <v>0.99312</v>
      </c>
      <c r="Y122" s="49">
        <f>PRODUCT(X$17:X122)</f>
        <v>1.833103904089834E-7</v>
      </c>
      <c r="Z122" s="13">
        <f>Table13[[#This Row],[one-year conditional survival NOW]]*(1-Table13[[#This Row],[Lapse rate]])</f>
        <v>0.96134016</v>
      </c>
      <c r="AA122" s="13">
        <f>PRODUCT(Z$17:Z122)</f>
        <v>5.1561556306185443E-8</v>
      </c>
      <c r="AB122" s="50">
        <f>Y121*Table13[[#This Row],[one-year conditional mortality NOW]]</f>
        <v>1.2699124839030589E-9</v>
      </c>
      <c r="AC122" s="14">
        <v>1.9699999999999999E-2</v>
      </c>
      <c r="AD122" s="28">
        <f>(1+Table13[[#This Row],[Yield curve now]])^(Table13[[#This Row],[age since issue]]-$B$11)</f>
        <v>2.1400521312487801</v>
      </c>
      <c r="AE122" s="46">
        <f t="shared" si="3"/>
        <v>3.6695086364215905</v>
      </c>
      <c r="AF122" s="42">
        <f>1-Table13[[#This Row],[cumulative debt until t]]</f>
        <v>-2.6695086364215905</v>
      </c>
      <c r="AG122" s="46">
        <f>Table13[[#This Row],[cumulative debt until t]]*Table13[[#This Row],[Unconditional mortality NOW]]/Table13[[#This Row],[discouter with yield curve]]</f>
        <v>2.1774959399996742E-9</v>
      </c>
      <c r="AH122" s="48">
        <f>Table13[[#This Row],[Unconditional mortality NOW]]/Table13[[#This Row],[discouter with yield curve]]</f>
        <v>5.9340259303030596E-10</v>
      </c>
      <c r="AI122" s="29">
        <f>Table13[[#This Row],[user profit (death benefit - debt)]]*Table13[[#This Row],[Unconditional mortality NOW]]/Table13[[#This Row],[discouter with yield curve]]</f>
        <v>-1.5840933469693681E-9</v>
      </c>
      <c r="AJ122" s="29">
        <f>(1+$D$4)^(Table13[[#This Row],[age since issue]]-$B$11)</f>
        <v>1.4741225085031893</v>
      </c>
      <c r="AK122" s="57">
        <f>Table13[[#This Row],[level premium marked up]]*Table13[[#This Row],[unconditional survival NOW]]</f>
        <v>4.5123671005053573E-10</v>
      </c>
      <c r="AL122" s="62">
        <f>Table13[[#This Row],[cumulative debt until t]]*Table13[[#This Row],[Unconditional mortality NOW]]</f>
        <v>4.6599548271818685E-9</v>
      </c>
      <c r="AM122" s="47">
        <f>Table13[[#This Row],[probablistic premium stream]]/Table13[[#This Row],[lender discounter]]</f>
        <v>3.0610529820124477E-10</v>
      </c>
      <c r="AN122" s="58">
        <f>Table13[[#This Row],[probablistic repay from borrower]]/Table13[[#This Row],[lender discounter]]</f>
        <v>3.1611720194907984E-9</v>
      </c>
      <c r="AO122" s="47">
        <f>(Table13[[#This Row],[probablistic repay from borrower]]-Table13[[#This Row],[probablistic premium stream]])/Table13[[#This Row],[lender discounter]]</f>
        <v>2.8550667212895535E-9</v>
      </c>
      <c r="AP122" s="46">
        <f>AP121*(1+$D$4)+ Table13[[#This Row],[level premium marked up]]</f>
        <v>0.12033865746246306</v>
      </c>
      <c r="AQ122" s="58">
        <f>AP122*Table13[[#This Row],[Unconditional mortality NOW]]</f>
        <v>1.5281956340771583E-10</v>
      </c>
      <c r="AR122" s="60">
        <f>Table13[[#This Row],[cumulative debt until t]]*Table13[[#This Row],[Unconditional mortality NOW]]</f>
        <v>4.6599548271818685E-9</v>
      </c>
      <c r="AS122" s="58">
        <f>Table13[[#This Row],[lender to pay cumulative probablistic undiscounted]]/Table13[[#This Row],[lender discounter]]</f>
        <v>1.0366815683649484E-10</v>
      </c>
    </row>
    <row r="123" spans="1:45" s="3" customFormat="1">
      <c r="A123" s="3">
        <v>127</v>
      </c>
      <c r="B123" s="8">
        <v>3.2000000000000001E-2</v>
      </c>
      <c r="C123" s="3">
        <v>0</v>
      </c>
      <c r="D123" s="12">
        <v>3.2000000000000001E-2</v>
      </c>
      <c r="E123" s="66">
        <v>0.99999999989999999</v>
      </c>
      <c r="F123" s="13">
        <f>1-Table13[[#This Row],[one-year conditional mortality AT ISSUE]]</f>
        <v>1.000000082740371E-10</v>
      </c>
      <c r="G123" s="13">
        <f>PRODUCT(F$17:F123)</f>
        <v>1.0117501693885233E-81</v>
      </c>
      <c r="H123" s="13">
        <f>Table13[[#This Row],[one-year conditional survival AT ISSUE]]*(1-Table13[[#This Row],[Lapse rate]])</f>
        <v>9.6800008009267909E-11</v>
      </c>
      <c r="I123" s="13">
        <f>PRODUCT(H$17:H123)</f>
        <v>2.116192723047583E-83</v>
      </c>
      <c r="J123" s="13">
        <f>G122*Table13[[#This Row],[one-year conditional mortality AT ISSUE]]</f>
        <v>1.0117500855747708E-71</v>
      </c>
      <c r="K123" s="10">
        <f>I122*Table13[[#This Row],[one-year conditional mortality AT ISSUE]]</f>
        <v>2.1861493261791397E-73</v>
      </c>
      <c r="L123" s="3">
        <f t="shared" si="1"/>
        <v>2.4615991981893799E-3</v>
      </c>
      <c r="M123" s="44">
        <f>Table13[[#This Row],[Death benefit pay probability]]/Table13[[#This Row],[unconditional persistency AT ISSUE]]</f>
        <v>10330577656.607809</v>
      </c>
      <c r="N123" s="44">
        <f>Table13[[#This Row],[one-year conditional mortality AT ISSUE]]/Table13[[#This Row],[one-year conditional persistency AT ISSUE]]</f>
        <v>10330577656.607809</v>
      </c>
      <c r="O123" s="4">
        <f>(1+$B$14)^(Table13[[#This Row],[age since issue]]-$A$17)</f>
        <v>38.342204399422052</v>
      </c>
      <c r="P123" s="5">
        <f>(Table13[[#This Row],[level premium unmarked-up]]*Table13[[#This Row],[unconditional persistency AT ISSUE]]-Table13[[#This Row],[Death benefit pay probability]])</f>
        <v>-2.1861493261786188E-73</v>
      </c>
      <c r="Q123" s="4">
        <f>Table13[[#This Row],[Issuer profit with unmarked-up level premium]]/Table13[[#This Row],[Issuer discounter at issue]]</f>
        <v>-5.7016787647492995E-75</v>
      </c>
      <c r="R123" s="4">
        <f>(Table13[[#This Row],[variable premium unmarked up]]*Table13[[#This Row],[unconditional persistency AT ISSUE]]-Table13[[#This Row],[Death benefit pay probability]])</f>
        <v>3.141819817790545E-89</v>
      </c>
      <c r="S123" s="6">
        <f>Table13[[#This Row],[level premium unmarked-up]]*(1+$B$15)</f>
        <v>2.4615991981893799E-3</v>
      </c>
      <c r="T123" s="6">
        <f>MIN(Table13[[#This Row],[variable premium unmarked up]]*(1+$B$15),1)</f>
        <v>1</v>
      </c>
      <c r="U123" s="6">
        <f>Table13[[#This Row],[level premium marked up]]-Table13[[#This Row],[variable premium marked up]]</f>
        <v>-0.99753840080181067</v>
      </c>
      <c r="V123" s="6">
        <f>Table13[[#This Row],[additional cash]]+V122*(1+$D$2)</f>
        <v>-29.9407685726257</v>
      </c>
      <c r="W123" s="12">
        <v>7.62E-3</v>
      </c>
      <c r="X123" s="13">
        <f>1-Table13[[#This Row],[one-year conditional mortality NOW]]</f>
        <v>0.99238000000000004</v>
      </c>
      <c r="Y123" s="49">
        <f>PRODUCT(X$17:X123)</f>
        <v>1.8191356523406695E-7</v>
      </c>
      <c r="Z123" s="13">
        <f>Table13[[#This Row],[one-year conditional survival NOW]]*(1-Table13[[#This Row],[Lapse rate]])</f>
        <v>0.96062384000000001</v>
      </c>
      <c r="AA123" s="13">
        <f>PRODUCT(Z$17:Z123)</f>
        <v>4.9531260215224076E-8</v>
      </c>
      <c r="AB123" s="50">
        <f>Y122*Table13[[#This Row],[one-year conditional mortality NOW]]</f>
        <v>1.3968251749164535E-9</v>
      </c>
      <c r="AC123" s="14">
        <v>1.9699999999999999E-2</v>
      </c>
      <c r="AD123" s="28">
        <f>(1+Table13[[#This Row],[Yield curve now]])^(Table13[[#This Row],[age since issue]]-$B$11)</f>
        <v>2.1822111582343813</v>
      </c>
      <c r="AE123" s="46">
        <f t="shared" si="3"/>
        <v>4.1998358515003735</v>
      </c>
      <c r="AF123" s="42">
        <f>1-Table13[[#This Row],[cumulative debt until t]]</f>
        <v>-3.1998358515003735</v>
      </c>
      <c r="AG123" s="46">
        <f>Table13[[#This Row],[cumulative debt until t]]*Table13[[#This Row],[Unconditional mortality NOW]]/Table13[[#This Row],[discouter with yield curve]]</f>
        <v>2.6882991711209618E-9</v>
      </c>
      <c r="AH123" s="48">
        <f>Table13[[#This Row],[Unconditional mortality NOW]]/Table13[[#This Row],[discouter with yield curve]]</f>
        <v>6.4009624808564323E-10</v>
      </c>
      <c r="AI123" s="29">
        <f>Table13[[#This Row],[user profit (death benefit - debt)]]*Table13[[#This Row],[Unconditional mortality NOW]]/Table13[[#This Row],[discouter with yield curve]]</f>
        <v>-2.0482029230353188E-9</v>
      </c>
      <c r="AJ123" s="29">
        <f>(1+$D$4)^(Table13[[#This Row],[age since issue]]-$B$11)</f>
        <v>1.4888637335882215</v>
      </c>
      <c r="AK123" s="57">
        <f>Table13[[#This Row],[level premium marked up]]*Table13[[#This Row],[unconditional survival NOW]]</f>
        <v>4.4779828631995067E-10</v>
      </c>
      <c r="AL123" s="62">
        <f>Table13[[#This Row],[cumulative debt until t]]*Table13[[#This Row],[Unconditional mortality NOW]]</f>
        <v>5.8664364478924013E-9</v>
      </c>
      <c r="AM123" s="47">
        <f>Table13[[#This Row],[probablistic premium stream]]/Table13[[#This Row],[lender discounter]]</f>
        <v>3.0076512458312003E-10</v>
      </c>
      <c r="AN123" s="58">
        <f>Table13[[#This Row],[probablistic repay from borrower]]/Table13[[#This Row],[lender discounter]]</f>
        <v>3.9402104541522102E-9</v>
      </c>
      <c r="AO123" s="47">
        <f>(Table13[[#This Row],[probablistic repay from borrower]]-Table13[[#This Row],[probablistic premium stream]])/Table13[[#This Row],[lender discounter]]</f>
        <v>3.6394453295690897E-9</v>
      </c>
      <c r="AP123" s="46">
        <f>AP122*(1+$D$4)+ Table13[[#This Row],[level premium marked up]]</f>
        <v>0.12400364323527706</v>
      </c>
      <c r="AQ123" s="58">
        <f>AP123*Table13[[#This Row],[Unconditional mortality NOW]]</f>
        <v>1.7321141065239336E-10</v>
      </c>
      <c r="AR123" s="60">
        <f>Table13[[#This Row],[cumulative debt until t]]*Table13[[#This Row],[Unconditional mortality NOW]]</f>
        <v>5.8664364478924013E-9</v>
      </c>
      <c r="AS123" s="58">
        <f>Table13[[#This Row],[lender to pay cumulative probablistic undiscounted]]/Table13[[#This Row],[lender discounter]]</f>
        <v>1.1633798765112431E-10</v>
      </c>
    </row>
    <row r="124" spans="1:45" s="3" customFormat="1">
      <c r="A124" s="3">
        <v>128</v>
      </c>
      <c r="B124" s="8">
        <v>3.2000000000000001E-2</v>
      </c>
      <c r="C124" s="3">
        <v>0</v>
      </c>
      <c r="D124" s="12">
        <v>3.2000000000000001E-2</v>
      </c>
      <c r="E124" s="66">
        <v>0.99999999989999999</v>
      </c>
      <c r="F124" s="13">
        <f>1-Table13[[#This Row],[one-year conditional mortality AT ISSUE]]</f>
        <v>1.000000082740371E-10</v>
      </c>
      <c r="G124" s="13">
        <f>PRODUCT(F$17:F124)</f>
        <v>1.0117502531011077E-91</v>
      </c>
      <c r="H124" s="13">
        <f>Table13[[#This Row],[one-year conditional survival AT ISSUE]]*(1-Table13[[#This Row],[Lapse rate]])</f>
        <v>9.6800008009267909E-11</v>
      </c>
      <c r="I124" s="13">
        <f>PRODUCT(H$17:H124)</f>
        <v>2.0484747254016049E-93</v>
      </c>
      <c r="J124" s="13">
        <f>G123*Table13[[#This Row],[one-year conditional mortality AT ISSUE]]</f>
        <v>1.0117501692873483E-81</v>
      </c>
      <c r="K124" s="10">
        <f>I123*Table13[[#This Row],[one-year conditional mortality AT ISSUE]]</f>
        <v>2.1161927228359636E-83</v>
      </c>
      <c r="L124" s="3">
        <f t="shared" si="1"/>
        <v>2.4615991981893799E-3</v>
      </c>
      <c r="M124" s="44">
        <f>Table13[[#This Row],[Death benefit pay probability]]/Table13[[#This Row],[unconditional persistency AT ISSUE]]</f>
        <v>10330577656.607809</v>
      </c>
      <c r="N124" s="44">
        <f>Table13[[#This Row],[one-year conditional mortality AT ISSUE]]/Table13[[#This Row],[one-year conditional persistency AT ISSUE]]</f>
        <v>10330577656.607809</v>
      </c>
      <c r="O124" s="4">
        <f>(1+$B$14)^(Table13[[#This Row],[age since issue]]-$A$17)</f>
        <v>39.684181553401828</v>
      </c>
      <c r="P124" s="5">
        <f>(Table13[[#This Row],[level premium unmarked-up]]*Table13[[#This Row],[unconditional persistency AT ISSUE]]-Table13[[#This Row],[Death benefit pay probability]])</f>
        <v>-2.1161927228354592E-83</v>
      </c>
      <c r="Q124" s="4">
        <f>Table13[[#This Row],[Issuer profit with unmarked-up level premium]]/Table13[[#This Row],[Issuer discounter at issue]]</f>
        <v>-5.3325850250628491E-85</v>
      </c>
      <c r="R124" s="4">
        <f>(Table13[[#This Row],[variable premium unmarked up]]*Table13[[#This Row],[unconditional persistency AT ISSUE]]-Table13[[#This Row],[Death benefit pay probability]])</f>
        <v>0</v>
      </c>
      <c r="S124" s="6">
        <f>Table13[[#This Row],[level premium unmarked-up]]*(1+$B$15)</f>
        <v>2.4615991981893799E-3</v>
      </c>
      <c r="T124" s="6">
        <f>MIN(Table13[[#This Row],[variable premium unmarked up]]*(1+$B$15),1)</f>
        <v>1</v>
      </c>
      <c r="U124" s="6">
        <f>Table13[[#This Row],[level premium marked up]]-Table13[[#This Row],[variable premium marked up]]</f>
        <v>-0.99753840080181067</v>
      </c>
      <c r="V124" s="6">
        <f>Table13[[#This Row],[additional cash]]+V123*(1+$D$2)</f>
        <v>-30.968247742000134</v>
      </c>
      <c r="W124" s="12">
        <v>8.4200000000000004E-3</v>
      </c>
      <c r="X124" s="13">
        <f>1-Table13[[#This Row],[one-year conditional mortality NOW]]</f>
        <v>0.99158000000000002</v>
      </c>
      <c r="Y124" s="49">
        <f>PRODUCT(X$17:X124)</f>
        <v>1.8038185301479611E-7</v>
      </c>
      <c r="Z124" s="13">
        <f>Table13[[#This Row],[one-year conditional survival NOW]]*(1-Table13[[#This Row],[Lapse rate]])</f>
        <v>0.95984943999999994</v>
      </c>
      <c r="AA124" s="13">
        <f>PRODUCT(Z$17:Z124)</f>
        <v>4.7542552380077104E-8</v>
      </c>
      <c r="AB124" s="50">
        <f>Y123*Table13[[#This Row],[one-year conditional mortality NOW]]</f>
        <v>1.5317122192708438E-9</v>
      </c>
      <c r="AC124" s="14">
        <v>1.9699999999999999E-2</v>
      </c>
      <c r="AD124" s="28">
        <f>(1+Table13[[#This Row],[Yield curve now]])^(Table13[[#This Row],[age since issue]]-$B$11)</f>
        <v>2.2252007180515987</v>
      </c>
      <c r="AE124" s="46">
        <f t="shared" si="3"/>
        <v>4.8064004770271609</v>
      </c>
      <c r="AF124" s="42">
        <f>1-Table13[[#This Row],[cumulative debt until t]]</f>
        <v>-3.8064004770271609</v>
      </c>
      <c r="AG124" s="46">
        <f>Table13[[#This Row],[cumulative debt until t]]*Table13[[#This Row],[Unconditional mortality NOW]]/Table13[[#This Row],[discouter with yield curve]]</f>
        <v>3.3084756272314855E-9</v>
      </c>
      <c r="AH124" s="48">
        <f>Table13[[#This Row],[Unconditional mortality NOW]]/Table13[[#This Row],[discouter with yield curve]]</f>
        <v>6.8834789007798888E-10</v>
      </c>
      <c r="AI124" s="29">
        <f>Table13[[#This Row],[user profit (death benefit - debt)]]*Table13[[#This Row],[Unconditional mortality NOW]]/Table13[[#This Row],[discouter with yield curve]]</f>
        <v>-2.620127737153497E-9</v>
      </c>
      <c r="AJ124" s="29">
        <f>(1+$D$4)^(Table13[[#This Row],[age since issue]]-$B$11)</f>
        <v>1.5037523709241039</v>
      </c>
      <c r="AK124" s="57">
        <f>Table13[[#This Row],[level premium marked up]]*Table13[[#This Row],[unconditional survival NOW]]</f>
        <v>4.4402782474913669E-10</v>
      </c>
      <c r="AL124" s="62">
        <f>Table13[[#This Row],[cumulative debt until t]]*Table13[[#This Row],[Unconditional mortality NOW]]</f>
        <v>7.3620223413717151E-9</v>
      </c>
      <c r="AM124" s="47">
        <f>Table13[[#This Row],[probablistic premium stream]]/Table13[[#This Row],[lender discounter]]</f>
        <v>2.9527988340012882E-10</v>
      </c>
      <c r="AN124" s="58">
        <f>Table13[[#This Row],[probablistic repay from borrower]]/Table13[[#This Row],[lender discounter]]</f>
        <v>4.8957677365772112E-9</v>
      </c>
      <c r="AO124" s="47">
        <f>(Table13[[#This Row],[probablistic repay from borrower]]-Table13[[#This Row],[probablistic premium stream]])/Table13[[#This Row],[lender discounter]]</f>
        <v>4.6004878531770823E-9</v>
      </c>
      <c r="AP124" s="46">
        <f>AP123*(1+$D$4)+ Table13[[#This Row],[level premium marked up]]</f>
        <v>0.12770527886581923</v>
      </c>
      <c r="AQ124" s="58">
        <f>AP124*Table13[[#This Row],[Unconditional mortality NOW]]</f>
        <v>1.9560773610416597E-10</v>
      </c>
      <c r="AR124" s="60">
        <f>Table13[[#This Row],[cumulative debt until t]]*Table13[[#This Row],[Unconditional mortality NOW]]</f>
        <v>7.3620223413717151E-9</v>
      </c>
      <c r="AS124" s="58">
        <f>Table13[[#This Row],[lender to pay cumulative probablistic undiscounted]]/Table13[[#This Row],[lender discounter]]</f>
        <v>1.3007975241559138E-10</v>
      </c>
    </row>
    <row r="125" spans="1:45" s="3" customFormat="1">
      <c r="A125" s="3">
        <v>129</v>
      </c>
      <c r="B125" s="8">
        <v>3.2000000000000001E-2</v>
      </c>
      <c r="C125" s="3">
        <v>0</v>
      </c>
      <c r="D125" s="12">
        <v>3.2000000000000001E-2</v>
      </c>
      <c r="E125" s="66">
        <v>0.99999999989999999</v>
      </c>
      <c r="F125" s="13">
        <f>1-Table13[[#This Row],[one-year conditional mortality AT ISSUE]]</f>
        <v>1.000000082740371E-10</v>
      </c>
      <c r="G125" s="13">
        <f>PRODUCT(F$17:F125)</f>
        <v>1.011750336813699E-101</v>
      </c>
      <c r="H125" s="13">
        <f>Table13[[#This Row],[one-year conditional survival AT ISSUE]]*(1-Table13[[#This Row],[Lapse rate]])</f>
        <v>9.6800008009267909E-11</v>
      </c>
      <c r="I125" s="13">
        <f>PRODUCT(H$17:H125)</f>
        <v>1.9829236982565823E-103</v>
      </c>
      <c r="J125" s="13">
        <f>G124*Table13[[#This Row],[one-year conditional mortality AT ISSUE]]</f>
        <v>1.0117502529999327E-91</v>
      </c>
      <c r="K125" s="10">
        <f>I124*Table13[[#This Row],[one-year conditional mortality AT ISSUE]]</f>
        <v>2.0484747251967574E-93</v>
      </c>
      <c r="L125" s="3">
        <f t="shared" si="1"/>
        <v>2.4615991981893799E-3</v>
      </c>
      <c r="M125" s="44">
        <f>Table13[[#This Row],[Death benefit pay probability]]/Table13[[#This Row],[unconditional persistency AT ISSUE]]</f>
        <v>10330577656.607809</v>
      </c>
      <c r="N125" s="44">
        <f>Table13[[#This Row],[one-year conditional mortality AT ISSUE]]/Table13[[#This Row],[one-year conditional persistency AT ISSUE]]</f>
        <v>10330577656.607809</v>
      </c>
      <c r="O125" s="4">
        <f>(1+$B$14)^(Table13[[#This Row],[age since issue]]-$A$17)</f>
        <v>41.073127907770882</v>
      </c>
      <c r="P125" s="5">
        <f>(Table13[[#This Row],[level premium unmarked-up]]*Table13[[#This Row],[unconditional persistency AT ISSUE]]-Table13[[#This Row],[Death benefit pay probability]])</f>
        <v>-2.0484747251962695E-93</v>
      </c>
      <c r="Q125" s="4">
        <f>Table13[[#This Row],[Issuer profit with unmarked-up level premium]]/Table13[[#This Row],[Issuer discounter at issue]]</f>
        <v>-4.987384281509044E-95</v>
      </c>
      <c r="R125" s="4">
        <f>(Table13[[#This Row],[variable premium unmarked up]]*Table13[[#This Row],[unconditional persistency AT ISSUE]]-Table13[[#This Row],[Death benefit pay probability]])</f>
        <v>0</v>
      </c>
      <c r="S125" s="6">
        <f>Table13[[#This Row],[level premium unmarked-up]]*(1+$B$15)</f>
        <v>2.4615991981893799E-3</v>
      </c>
      <c r="T125" s="6">
        <f>MIN(Table13[[#This Row],[variable premium unmarked up]]*(1+$B$15),1)</f>
        <v>1</v>
      </c>
      <c r="U125" s="6">
        <f>Table13[[#This Row],[level premium marked up]]-Table13[[#This Row],[variable premium marked up]]</f>
        <v>-0.99753840080181067</v>
      </c>
      <c r="V125" s="6">
        <f>Table13[[#This Row],[additional cash]]+V124*(1+$D$2)</f>
        <v>-31.996754390543941</v>
      </c>
      <c r="W125" s="12">
        <v>9.2999999999999992E-3</v>
      </c>
      <c r="X125" s="13">
        <f>1-Table13[[#This Row],[one-year conditional mortality NOW]]</f>
        <v>0.99070000000000003</v>
      </c>
      <c r="Y125" s="49">
        <f>PRODUCT(X$17:X125)</f>
        <v>1.7870430178175851E-7</v>
      </c>
      <c r="Z125" s="13">
        <f>Table13[[#This Row],[one-year conditional survival NOW]]*(1-Table13[[#This Row],[Lapse rate]])</f>
        <v>0.95899760000000001</v>
      </c>
      <c r="AA125" s="13">
        <f>PRODUCT(Z$17:Z125)</f>
        <v>4.5593193630368228E-8</v>
      </c>
      <c r="AB125" s="50">
        <f>Y124*Table13[[#This Row],[one-year conditional mortality NOW]]</f>
        <v>1.6775512330376036E-9</v>
      </c>
      <c r="AC125" s="14">
        <v>1.9699999999999999E-2</v>
      </c>
      <c r="AD125" s="28">
        <f>(1+Table13[[#This Row],[Yield curve now]])^(Table13[[#This Row],[age since issue]]-$B$11)</f>
        <v>2.2690371721972151</v>
      </c>
      <c r="AE125" s="46">
        <f t="shared" si="3"/>
        <v>5.500162053803483</v>
      </c>
      <c r="AF125" s="42">
        <f>1-Table13[[#This Row],[cumulative debt until t]]</f>
        <v>-4.500162053803483</v>
      </c>
      <c r="AG125" s="46">
        <f>Table13[[#This Row],[cumulative debt until t]]*Table13[[#This Row],[Unconditional mortality NOW]]/Table13[[#This Row],[discouter with yield curve]]</f>
        <v>4.0663959798992294E-9</v>
      </c>
      <c r="AH125" s="48">
        <f>Table13[[#This Row],[Unconditional mortality NOW]]/Table13[[#This Row],[discouter with yield curve]]</f>
        <v>7.3932293996451018E-10</v>
      </c>
      <c r="AI125" s="29">
        <f>Table13[[#This Row],[user profit (death benefit - debt)]]*Table13[[#This Row],[Unconditional mortality NOW]]/Table13[[#This Row],[discouter with yield curve]]</f>
        <v>-3.3270730399347194E-9</v>
      </c>
      <c r="AJ125" s="29">
        <f>(1+$D$4)^(Table13[[#This Row],[age since issue]]-$B$11)</f>
        <v>1.5187898946333451</v>
      </c>
      <c r="AK125" s="57">
        <f>Table13[[#This Row],[level premium marked up]]*Table13[[#This Row],[unconditional survival NOW]]</f>
        <v>4.3989836597896971E-10</v>
      </c>
      <c r="AL125" s="62">
        <f>Table13[[#This Row],[cumulative debt until t]]*Table13[[#This Row],[Unconditional mortality NOW]]</f>
        <v>9.2268036352646707E-9</v>
      </c>
      <c r="AM125" s="47">
        <f>Table13[[#This Row],[probablistic premium stream]]/Table13[[#This Row],[lender discounter]]</f>
        <v>2.8963740642030454E-10</v>
      </c>
      <c r="AN125" s="58">
        <f>Table13[[#This Row],[probablistic repay from borrower]]/Table13[[#This Row],[lender discounter]]</f>
        <v>6.0751020716345608E-9</v>
      </c>
      <c r="AO125" s="47">
        <f>(Table13[[#This Row],[probablistic repay from borrower]]-Table13[[#This Row],[probablistic premium stream]])/Table13[[#This Row],[lender discounter]]</f>
        <v>5.7854646652142555E-9</v>
      </c>
      <c r="AP125" s="46">
        <f>AP124*(1+$D$4)+ Table13[[#This Row],[level premium marked up]]</f>
        <v>0.13144393085266681</v>
      </c>
      <c r="AQ125" s="58">
        <f>AP125*Table13[[#This Row],[Unconditional mortality NOW]]</f>
        <v>2.2050392827720072E-10</v>
      </c>
      <c r="AR125" s="60">
        <f>Table13[[#This Row],[cumulative debt until t]]*Table13[[#This Row],[Unconditional mortality NOW]]</f>
        <v>9.2268036352646707E-9</v>
      </c>
      <c r="AS125" s="58">
        <f>Table13[[#This Row],[lender to pay cumulative probablistic undiscounted]]/Table13[[#This Row],[lender discounter]]</f>
        <v>1.4518395800258673E-10</v>
      </c>
    </row>
    <row r="126" spans="1:45" s="3" customFormat="1">
      <c r="A126" s="3">
        <v>130</v>
      </c>
      <c r="B126" s="8">
        <v>3.2000000000000001E-2</v>
      </c>
      <c r="C126" s="3">
        <v>0</v>
      </c>
      <c r="D126" s="12">
        <v>3.2000000000000001E-2</v>
      </c>
      <c r="E126" s="66">
        <v>0.99999999989999999</v>
      </c>
      <c r="F126" s="13">
        <f>1-Table13[[#This Row],[one-year conditional mortality AT ISSUE]]</f>
        <v>1.000000082740371E-10</v>
      </c>
      <c r="G126" s="13">
        <f>PRODUCT(F$17:F126)</f>
        <v>1.0117504205262973E-111</v>
      </c>
      <c r="H126" s="13">
        <f>Table13[[#This Row],[one-year conditional survival AT ISSUE]]*(1-Table13[[#This Row],[Lapse rate]])</f>
        <v>9.6800008009267909E-11</v>
      </c>
      <c r="I126" s="13">
        <f>PRODUCT(H$17:H126)</f>
        <v>1.9194702987300431E-113</v>
      </c>
      <c r="J126" s="13">
        <f>G125*Table13[[#This Row],[one-year conditional mortality AT ISSUE]]</f>
        <v>1.0117503367125239E-101</v>
      </c>
      <c r="K126" s="10">
        <f>I125*Table13[[#This Row],[one-year conditional mortality AT ISSUE]]</f>
        <v>1.9829236980582899E-103</v>
      </c>
      <c r="L126" s="3">
        <f t="shared" si="1"/>
        <v>2.4615991981893799E-3</v>
      </c>
      <c r="M126" s="44">
        <f>Table13[[#This Row],[Death benefit pay probability]]/Table13[[#This Row],[unconditional persistency AT ISSUE]]</f>
        <v>10330577656.607809</v>
      </c>
      <c r="N126" s="44">
        <f>Table13[[#This Row],[one-year conditional mortality AT ISSUE]]/Table13[[#This Row],[one-year conditional persistency AT ISSUE]]</f>
        <v>10330577656.607809</v>
      </c>
      <c r="O126" s="4">
        <f>(1+$B$14)^(Table13[[#This Row],[age since issue]]-$A$17)</f>
        <v>42.510687384542862</v>
      </c>
      <c r="P126" s="5">
        <f>(Table13[[#This Row],[level premium unmarked-up]]*Table13[[#This Row],[unconditional persistency AT ISSUE]]-Table13[[#This Row],[Death benefit pay probability]])</f>
        <v>-1.9829236980578175E-103</v>
      </c>
      <c r="Q126" s="4">
        <f>Table13[[#This Row],[Issuer profit with unmarked-up level premium]]/Table13[[#This Row],[Issuer discounter at issue]]</f>
        <v>-4.6645298395688151E-105</v>
      </c>
      <c r="R126" s="4">
        <f>(Table13[[#This Row],[variable premium unmarked up]]*Table13[[#This Row],[unconditional persistency AT ISSUE]]-Table13[[#This Row],[Death benefit pay probability]])</f>
        <v>0</v>
      </c>
      <c r="S126" s="6">
        <f>Table13[[#This Row],[level premium unmarked-up]]*(1+$B$15)</f>
        <v>2.4615991981893799E-3</v>
      </c>
      <c r="T126" s="6">
        <f>MIN(Table13[[#This Row],[variable premium unmarked up]]*(1+$B$15),1)</f>
        <v>1</v>
      </c>
      <c r="U126" s="6">
        <f>Table13[[#This Row],[level premium marked up]]-Table13[[#This Row],[variable premium marked up]]</f>
        <v>-0.99753840080181067</v>
      </c>
      <c r="V126" s="6">
        <f>Table13[[#This Row],[additional cash]]+V125*(1+$D$2)</f>
        <v>-33.02628954573629</v>
      </c>
      <c r="W126" s="12">
        <v>1.03E-2</v>
      </c>
      <c r="X126" s="13">
        <f>1-Table13[[#This Row],[one-year conditional mortality NOW]]</f>
        <v>0.98970000000000002</v>
      </c>
      <c r="Y126" s="49">
        <f>PRODUCT(X$17:X126)</f>
        <v>1.768636474734064E-7</v>
      </c>
      <c r="Z126" s="13">
        <f>Table13[[#This Row],[one-year conditional survival NOW]]*(1-Table13[[#This Row],[Lapse rate]])</f>
        <v>0.95802960000000004</v>
      </c>
      <c r="AA126" s="13">
        <f>PRODUCT(Z$17:Z126)</f>
        <v>4.3679629056424222E-8</v>
      </c>
      <c r="AB126" s="50">
        <f>Y125*Table13[[#This Row],[one-year conditional mortality NOW]]</f>
        <v>1.8406543083521127E-9</v>
      </c>
      <c r="AC126" s="14">
        <v>1.9699999999999999E-2</v>
      </c>
      <c r="AD126" s="28">
        <f>(1+Table13[[#This Row],[Yield curve now]])^(Table13[[#This Row],[age since issue]]-$B$11)</f>
        <v>2.3137372044895002</v>
      </c>
      <c r="AE126" s="46">
        <f t="shared" si="3"/>
        <v>6.293655615999211</v>
      </c>
      <c r="AF126" s="42">
        <f>1-Table13[[#This Row],[cumulative debt until t]]</f>
        <v>-5.293655615999211</v>
      </c>
      <c r="AG126" s="46">
        <f>Table13[[#This Row],[cumulative debt until t]]*Table13[[#This Row],[Unconditional mortality NOW]]/Table13[[#This Row],[discouter with yield curve]]</f>
        <v>5.0068107572438827E-9</v>
      </c>
      <c r="AH126" s="48">
        <f>Table13[[#This Row],[Unconditional mortality NOW]]/Table13[[#This Row],[discouter with yield curve]]</f>
        <v>7.9553300382626306E-10</v>
      </c>
      <c r="AI126" s="29">
        <f>Table13[[#This Row],[user profit (death benefit - debt)]]*Table13[[#This Row],[Unconditional mortality NOW]]/Table13[[#This Row],[discouter with yield curve]]</f>
        <v>-4.2112777534176196E-9</v>
      </c>
      <c r="AJ126" s="29">
        <f>(1+$D$4)^(Table13[[#This Row],[age since issue]]-$B$11)</f>
        <v>1.5339777935796781</v>
      </c>
      <c r="AK126" s="57">
        <f>Table13[[#This Row],[level premium marked up]]*Table13[[#This Row],[unconditional survival NOW]]</f>
        <v>4.3536741280938635E-10</v>
      </c>
      <c r="AL126" s="62">
        <f>Table13[[#This Row],[cumulative debt until t]]*Table13[[#This Row],[Unconditional mortality NOW]]</f>
        <v>1.1584444324873418E-8</v>
      </c>
      <c r="AM126" s="47">
        <f>Table13[[#This Row],[probablistic premium stream]]/Table13[[#This Row],[lender discounter]]</f>
        <v>2.8381598132096586E-10</v>
      </c>
      <c r="AN126" s="58">
        <f>Table13[[#This Row],[probablistic repay from borrower]]/Table13[[#This Row],[lender discounter]]</f>
        <v>7.5518983217091114E-9</v>
      </c>
      <c r="AO126" s="47">
        <f>(Table13[[#This Row],[probablistic repay from borrower]]-Table13[[#This Row],[probablistic premium stream]])/Table13[[#This Row],[lender discounter]]</f>
        <v>7.2680823403881463E-9</v>
      </c>
      <c r="AP126" s="46">
        <f>AP125*(1+$D$4)+ Table13[[#This Row],[level premium marked up]]</f>
        <v>0.13521996935938288</v>
      </c>
      <c r="AQ126" s="58">
        <f>AP126*Table13[[#This Row],[Unconditional mortality NOW]]</f>
        <v>2.4889321917658878E-10</v>
      </c>
      <c r="AR126" s="60">
        <f>Table13[[#This Row],[cumulative debt until t]]*Table13[[#This Row],[Unconditional mortality NOW]]</f>
        <v>1.1584444324873418E-8</v>
      </c>
      <c r="AS126" s="58">
        <f>Table13[[#This Row],[lender to pay cumulative probablistic undiscounted]]/Table13[[#This Row],[lender discounter]]</f>
        <v>1.622534695210767E-10</v>
      </c>
    </row>
    <row r="127" spans="1:45" s="3" customFormat="1">
      <c r="A127" s="3">
        <v>131</v>
      </c>
      <c r="B127" s="8">
        <v>3.2000000000000001E-2</v>
      </c>
      <c r="C127" s="3">
        <v>0</v>
      </c>
      <c r="D127" s="12">
        <v>3.2000000000000001E-2</v>
      </c>
      <c r="E127" s="66">
        <v>0.99999999989999999</v>
      </c>
      <c r="F127" s="13">
        <f>1-Table13[[#This Row],[one-year conditional mortality AT ISSUE]]</f>
        <v>1.000000082740371E-10</v>
      </c>
      <c r="G127" s="13">
        <f>PRODUCT(F$17:F127)</f>
        <v>1.0117505042389025E-121</v>
      </c>
      <c r="H127" s="13">
        <f>Table13[[#This Row],[one-year conditional survival AT ISSUE]]*(1-Table13[[#This Row],[Lapse rate]])</f>
        <v>9.6800008009267909E-11</v>
      </c>
      <c r="I127" s="13">
        <f>PRODUCT(H$17:H127)</f>
        <v>1.8580474029062003E-123</v>
      </c>
      <c r="J127" s="13">
        <f>G126*Table13[[#This Row],[one-year conditional mortality AT ISSUE]]</f>
        <v>1.0117504204251223E-111</v>
      </c>
      <c r="K127" s="10">
        <f>I126*Table13[[#This Row],[one-year conditional mortality AT ISSUE]]</f>
        <v>1.9194702985380961E-113</v>
      </c>
      <c r="L127" s="3">
        <f t="shared" si="1"/>
        <v>2.4615991981893799E-3</v>
      </c>
      <c r="M127" s="44">
        <f>Table13[[#This Row],[Death benefit pay probability]]/Table13[[#This Row],[unconditional persistency AT ISSUE]]</f>
        <v>10330577656.607809</v>
      </c>
      <c r="N127" s="44">
        <f>Table13[[#This Row],[one-year conditional mortality AT ISSUE]]/Table13[[#This Row],[one-year conditional persistency AT ISSUE]]</f>
        <v>10330577656.607809</v>
      </c>
      <c r="O127" s="4">
        <f>(1+$B$14)^(Table13[[#This Row],[age since issue]]-$A$17)</f>
        <v>43.998561443001869</v>
      </c>
      <c r="P127" s="5">
        <f>(Table13[[#This Row],[level premium unmarked-up]]*Table13[[#This Row],[unconditional persistency AT ISSUE]]-Table13[[#This Row],[Death benefit pay probability]])</f>
        <v>-1.9194702985376387E-113</v>
      </c>
      <c r="Q127" s="4">
        <f>Table13[[#This Row],[Issuer profit with unmarked-up level premium]]/Table13[[#This Row],[Issuer discounter at issue]]</f>
        <v>-4.362575128789665E-115</v>
      </c>
      <c r="R127" s="4">
        <f>(Table13[[#This Row],[variable premium unmarked up]]*Table13[[#This Row],[unconditional persistency AT ISSUE]]-Table13[[#This Row],[Death benefit pay probability]])</f>
        <v>0</v>
      </c>
      <c r="S127" s="6">
        <f>Table13[[#This Row],[level premium unmarked-up]]*(1+$B$15)</f>
        <v>2.4615991981893799E-3</v>
      </c>
      <c r="T127" s="6">
        <f>MIN(Table13[[#This Row],[variable premium unmarked up]]*(1+$B$15),1)</f>
        <v>1</v>
      </c>
      <c r="U127" s="6">
        <f>Table13[[#This Row],[level premium marked up]]-Table13[[#This Row],[variable premium marked up]]</f>
        <v>-0.99753840080181067</v>
      </c>
      <c r="V127" s="6">
        <f>Table13[[#This Row],[additional cash]]+V126*(1+$D$2)</f>
        <v>-34.056854236083829</v>
      </c>
      <c r="W127" s="12">
        <v>1.1469999999999999E-2</v>
      </c>
      <c r="X127" s="13">
        <f>1-Table13[[#This Row],[one-year conditional mortality NOW]]</f>
        <v>0.98853000000000002</v>
      </c>
      <c r="Y127" s="49">
        <f>PRODUCT(X$17:X127)</f>
        <v>1.7483502143688643E-7</v>
      </c>
      <c r="Z127" s="13">
        <f>Table13[[#This Row],[one-year conditional survival NOW]]*(1-Table13[[#This Row],[Lapse rate]])</f>
        <v>0.95689703999999998</v>
      </c>
      <c r="AA127" s="13">
        <f>PRODUCT(Z$17:Z127)</f>
        <v>4.179690775239033E-8</v>
      </c>
      <c r="AB127" s="50">
        <f>Y126*Table13[[#This Row],[one-year conditional mortality NOW]]</f>
        <v>2.0286260365199713E-9</v>
      </c>
      <c r="AC127" s="14">
        <v>1.9699999999999999E-2</v>
      </c>
      <c r="AD127" s="28">
        <f>(1+Table13[[#This Row],[Yield curve now]])^(Table13[[#This Row],[age since issue]]-$B$11)</f>
        <v>2.3593178274179438</v>
      </c>
      <c r="AE127" s="46">
        <f t="shared" si="3"/>
        <v>7.2012181768601851</v>
      </c>
      <c r="AF127" s="42">
        <f>1-Table13[[#This Row],[cumulative debt until t]]</f>
        <v>-6.2012181768601851</v>
      </c>
      <c r="AG127" s="46">
        <f>Table13[[#This Row],[cumulative debt until t]]*Table13[[#This Row],[Unconditional mortality NOW]]/Table13[[#This Row],[discouter with yield curve]]</f>
        <v>6.1918655123405713E-9</v>
      </c>
      <c r="AH127" s="48">
        <f>Table13[[#This Row],[Unconditional mortality NOW]]/Table13[[#This Row],[discouter with yield curve]]</f>
        <v>8.5983584447378833E-10</v>
      </c>
      <c r="AI127" s="29">
        <f>Table13[[#This Row],[user profit (death benefit - debt)]]*Table13[[#This Row],[Unconditional mortality NOW]]/Table13[[#This Row],[discouter with yield curve]]</f>
        <v>-5.3320296678667833E-9</v>
      </c>
      <c r="AJ127" s="29">
        <f>(1+$D$4)^(Table13[[#This Row],[age since issue]]-$B$11)</f>
        <v>1.549317571515475</v>
      </c>
      <c r="AK127" s="57">
        <f>Table13[[#This Row],[level premium marked up]]*Table13[[#This Row],[unconditional survival NOW]]</f>
        <v>4.3037374858446266E-10</v>
      </c>
      <c r="AL127" s="62">
        <f>Table13[[#This Row],[cumulative debt until t]]*Table13[[#This Row],[Unconditional mortality NOW]]</f>
        <v>1.460857868823945E-8</v>
      </c>
      <c r="AM127" s="47">
        <f>Table13[[#This Row],[probablistic premium stream]]/Table13[[#This Row],[lender discounter]]</f>
        <v>2.7778278417347958E-10</v>
      </c>
      <c r="AN127" s="58">
        <f>Table13[[#This Row],[probablistic repay from borrower]]/Table13[[#This Row],[lender discounter]]</f>
        <v>9.4290408608417026E-9</v>
      </c>
      <c r="AO127" s="47">
        <f>(Table13[[#This Row],[probablistic repay from borrower]]-Table13[[#This Row],[probablistic premium stream]])/Table13[[#This Row],[lender discounter]]</f>
        <v>9.1512580766682226E-9</v>
      </c>
      <c r="AP127" s="46">
        <f>AP126*(1+$D$4)+ Table13[[#This Row],[level premium marked up]]</f>
        <v>0.13903376825116609</v>
      </c>
      <c r="AQ127" s="58">
        <f>AP127*Table13[[#This Row],[Unconditional mortality NOW]]</f>
        <v>2.8204752222979928E-10</v>
      </c>
      <c r="AR127" s="60">
        <f>Table13[[#This Row],[cumulative debt until t]]*Table13[[#This Row],[Unconditional mortality NOW]]</f>
        <v>1.460857868823945E-8</v>
      </c>
      <c r="AS127" s="58">
        <f>Table13[[#This Row],[lender to pay cumulative probablistic undiscounted]]/Table13[[#This Row],[lender discounter]]</f>
        <v>1.8204629406862833E-10</v>
      </c>
    </row>
    <row r="128" spans="1:45" s="3" customFormat="1">
      <c r="A128" s="3">
        <v>132</v>
      </c>
      <c r="B128" s="8">
        <v>3.2000000000000001E-2</v>
      </c>
      <c r="C128" s="3">
        <v>0</v>
      </c>
      <c r="D128" s="12">
        <v>3.2000000000000001E-2</v>
      </c>
      <c r="E128" s="66">
        <v>0.99999999989999999</v>
      </c>
      <c r="F128" s="13">
        <f>1-Table13[[#This Row],[one-year conditional mortality AT ISSUE]]</f>
        <v>1.000000082740371E-10</v>
      </c>
      <c r="G128" s="13">
        <f>PRODUCT(F$17:F128)</f>
        <v>1.0117505879515147E-131</v>
      </c>
      <c r="H128" s="13">
        <f>Table13[[#This Row],[one-year conditional survival AT ISSUE]]*(1-Table13[[#This Row],[Lapse rate]])</f>
        <v>9.6800008009267909E-11</v>
      </c>
      <c r="I128" s="13">
        <f>PRODUCT(H$17:H128)</f>
        <v>1.7985900348291964E-133</v>
      </c>
      <c r="J128" s="13">
        <f>G127*Table13[[#This Row],[one-year conditional mortality AT ISSUE]]</f>
        <v>1.0117505041377275E-121</v>
      </c>
      <c r="K128" s="10">
        <f>I127*Table13[[#This Row],[one-year conditional mortality AT ISSUE]]</f>
        <v>1.8580474027203956E-123</v>
      </c>
      <c r="L128" s="3">
        <f t="shared" si="1"/>
        <v>2.4615991981893799E-3</v>
      </c>
      <c r="M128" s="44">
        <f>Table13[[#This Row],[Death benefit pay probability]]/Table13[[#This Row],[unconditional persistency AT ISSUE]]</f>
        <v>10330577656.607809</v>
      </c>
      <c r="N128" s="44">
        <f>Table13[[#This Row],[one-year conditional mortality AT ISSUE]]/Table13[[#This Row],[one-year conditional persistency AT ISSUE]]</f>
        <v>10330577656.607809</v>
      </c>
      <c r="O128" s="4">
        <f>(1+$B$14)^(Table13[[#This Row],[age since issue]]-$A$17)</f>
        <v>45.538511093506919</v>
      </c>
      <c r="P128" s="5">
        <f>(Table13[[#This Row],[level premium unmarked-up]]*Table13[[#This Row],[unconditional persistency AT ISSUE]]-Table13[[#This Row],[Death benefit pay probability]])</f>
        <v>-1.8580474027199529E-123</v>
      </c>
      <c r="Q128" s="4">
        <f>Table13[[#This Row],[Issuer profit with unmarked-up level premium]]/Table13[[#This Row],[Issuer discounter at issue]]</f>
        <v>-4.0801672213321035E-125</v>
      </c>
      <c r="R128" s="4">
        <f>(Table13[[#This Row],[variable premium unmarked up]]*Table13[[#This Row],[unconditional persistency AT ISSUE]]-Table13[[#This Row],[Death benefit pay probability]])</f>
        <v>0</v>
      </c>
      <c r="S128" s="6">
        <f>Table13[[#This Row],[level premium unmarked-up]]*(1+$B$15)</f>
        <v>2.4615991981893799E-3</v>
      </c>
      <c r="T128" s="6">
        <f>MIN(Table13[[#This Row],[variable premium unmarked up]]*(1+$B$15),1)</f>
        <v>1</v>
      </c>
      <c r="U128" s="6">
        <f>Table13[[#This Row],[level premium marked up]]-Table13[[#This Row],[variable premium marked up]]</f>
        <v>-0.99753840080181067</v>
      </c>
      <c r="V128" s="6">
        <f>Table13[[#This Row],[additional cash]]+V127*(1+$D$2)</f>
        <v>-35.088449491121715</v>
      </c>
      <c r="W128" s="12">
        <v>1.286E-2</v>
      </c>
      <c r="X128" s="13">
        <f>1-Table13[[#This Row],[one-year conditional mortality NOW]]</f>
        <v>0.98714000000000002</v>
      </c>
      <c r="Y128" s="49">
        <f>PRODUCT(X$17:X128)</f>
        <v>1.7258664306120807E-7</v>
      </c>
      <c r="Z128" s="13">
        <f>Table13[[#This Row],[one-year conditional survival NOW]]*(1-Table13[[#This Row],[Lapse rate]])</f>
        <v>0.95555151999999999</v>
      </c>
      <c r="AA128" s="13">
        <f>PRODUCT(Z$17:Z128)</f>
        <v>3.9939098734096366E-8</v>
      </c>
      <c r="AB128" s="50">
        <f>Y127*Table13[[#This Row],[one-year conditional mortality NOW]]</f>
        <v>2.2483783756783596E-9</v>
      </c>
      <c r="AC128" s="14">
        <v>1.9699999999999999E-2</v>
      </c>
      <c r="AD128" s="28">
        <f>(1+Table13[[#This Row],[Yield curve now]])^(Table13[[#This Row],[age since issue]]-$B$11)</f>
        <v>2.4057963886180773</v>
      </c>
      <c r="AE128" s="46">
        <f t="shared" si="3"/>
        <v>8.2392477729633953</v>
      </c>
      <c r="AF128" s="42">
        <f>1-Table13[[#This Row],[cumulative debt until t]]</f>
        <v>-7.2392477729633953</v>
      </c>
      <c r="AG128" s="46">
        <f>Table13[[#This Row],[cumulative debt until t]]*Table13[[#This Row],[Unconditional mortality NOW]]/Table13[[#This Row],[discouter with yield curve]]</f>
        <v>7.7001306562056849E-9</v>
      </c>
      <c r="AH128" s="48">
        <f>Table13[[#This Row],[Unconditional mortality NOW]]/Table13[[#This Row],[discouter with yield curve]]</f>
        <v>9.3456719210134781E-10</v>
      </c>
      <c r="AI128" s="29">
        <f>Table13[[#This Row],[user profit (death benefit - debt)]]*Table13[[#This Row],[Unconditional mortality NOW]]/Table13[[#This Row],[discouter with yield curve]]</f>
        <v>-6.7655634641043367E-9</v>
      </c>
      <c r="AJ128" s="29">
        <f>(1+$D$4)^(Table13[[#This Row],[age since issue]]-$B$11)</f>
        <v>1.5648107472306299</v>
      </c>
      <c r="AK128" s="57">
        <f>Table13[[#This Row],[level premium marked up]]*Table13[[#This Row],[unconditional survival NOW]]</f>
        <v>4.2483914217766649E-10</v>
      </c>
      <c r="AL128" s="62">
        <f>Table13[[#This Row],[cumulative debt until t]]*Table13[[#This Row],[Unconditional mortality NOW]]</f>
        <v>1.8524946524586981E-8</v>
      </c>
      <c r="AM128" s="47">
        <f>Table13[[#This Row],[probablistic premium stream]]/Table13[[#This Row],[lender discounter]]</f>
        <v>2.7149554214753326E-10</v>
      </c>
      <c r="AN128" s="58">
        <f>Table13[[#This Row],[probablistic repay from borrower]]/Table13[[#This Row],[lender discounter]]</f>
        <v>1.1838458137747362E-8</v>
      </c>
      <c r="AO128" s="47">
        <f>(Table13[[#This Row],[probablistic repay from borrower]]-Table13[[#This Row],[probablistic premium stream]])/Table13[[#This Row],[lender discounter]]</f>
        <v>1.1566962595599829E-8</v>
      </c>
      <c r="AP128" s="46">
        <f>AP127*(1+$D$4)+ Table13[[#This Row],[level premium marked up]]</f>
        <v>0.14288570513186713</v>
      </c>
      <c r="AQ128" s="58">
        <f>AP128*Table13[[#This Row],[Unconditional mortality NOW]]</f>
        <v>3.2126112961204449E-10</v>
      </c>
      <c r="AR128" s="60">
        <f>Table13[[#This Row],[cumulative debt until t]]*Table13[[#This Row],[Unconditional mortality NOW]]</f>
        <v>1.8524946524586981E-8</v>
      </c>
      <c r="AS128" s="58">
        <f>Table13[[#This Row],[lender to pay cumulative probablistic undiscounted]]/Table13[[#This Row],[lender discounter]]</f>
        <v>2.0530350406948949E-10</v>
      </c>
    </row>
    <row r="129" spans="1:45" s="3" customFormat="1">
      <c r="A129" s="3">
        <v>133</v>
      </c>
      <c r="B129" s="8">
        <v>3.2000000000000001E-2</v>
      </c>
      <c r="C129" s="3">
        <v>0</v>
      </c>
      <c r="D129" s="12">
        <v>3.2000000000000001E-2</v>
      </c>
      <c r="E129" s="66">
        <v>0.99999999989999999</v>
      </c>
      <c r="F129" s="13">
        <f>1-Table13[[#This Row],[one-year conditional mortality AT ISSUE]]</f>
        <v>1.000000082740371E-10</v>
      </c>
      <c r="G129" s="13">
        <f>PRODUCT(F$17:F129)</f>
        <v>1.0117506716641337E-141</v>
      </c>
      <c r="H129" s="13">
        <f>Table13[[#This Row],[one-year conditional survival AT ISSUE]]*(1-Table13[[#This Row],[Lapse rate]])</f>
        <v>9.6800008009267909E-11</v>
      </c>
      <c r="I129" s="13">
        <f>PRODUCT(H$17:H129)</f>
        <v>1.7410352977685565E-143</v>
      </c>
      <c r="J129" s="13">
        <f>G128*Table13[[#This Row],[one-year conditional mortality AT ISSUE]]</f>
        <v>1.0117505878503397E-131</v>
      </c>
      <c r="K129" s="10">
        <f>I128*Table13[[#This Row],[one-year conditional mortality AT ISSUE]]</f>
        <v>1.7985900346493374E-133</v>
      </c>
      <c r="L129" s="3">
        <f t="shared" si="1"/>
        <v>2.4615991981893799E-3</v>
      </c>
      <c r="M129" s="44">
        <f>Table13[[#This Row],[Death benefit pay probability]]/Table13[[#This Row],[unconditional persistency AT ISSUE]]</f>
        <v>10330577656.607809</v>
      </c>
      <c r="N129" s="44">
        <f>Table13[[#This Row],[one-year conditional mortality AT ISSUE]]/Table13[[#This Row],[one-year conditional persistency AT ISSUE]]</f>
        <v>10330577656.607809</v>
      </c>
      <c r="O129" s="4">
        <f>(1+$B$14)^(Table13[[#This Row],[age since issue]]-$A$17)</f>
        <v>47.132358981779653</v>
      </c>
      <c r="P129" s="5">
        <f>(Table13[[#This Row],[level premium unmarked-up]]*Table13[[#This Row],[unconditional persistency AT ISSUE]]-Table13[[#This Row],[Death benefit pay probability]])</f>
        <v>-1.7985900346489088E-133</v>
      </c>
      <c r="Q129" s="4">
        <f>Table13[[#This Row],[Issuer profit with unmarked-up level premium]]/Table13[[#This Row],[Issuer discounter at issue]]</f>
        <v>-3.8160407700879231E-135</v>
      </c>
      <c r="R129" s="4">
        <f>(Table13[[#This Row],[variable premium unmarked up]]*Table13[[#This Row],[unconditional persistency AT ISSUE]]-Table13[[#This Row],[Death benefit pay probability]])</f>
        <v>0</v>
      </c>
      <c r="S129" s="6">
        <f>Table13[[#This Row],[level premium unmarked-up]]*(1+$B$15)</f>
        <v>2.4615991981893799E-3</v>
      </c>
      <c r="T129" s="6">
        <f>MIN(Table13[[#This Row],[variable premium unmarked up]]*(1+$B$15),1)</f>
        <v>1</v>
      </c>
      <c r="U129" s="6">
        <f>Table13[[#This Row],[level premium marked up]]-Table13[[#This Row],[variable premium marked up]]</f>
        <v>-0.99753840080181067</v>
      </c>
      <c r="V129" s="6">
        <f>Table13[[#This Row],[additional cash]]+V128*(1+$D$2)</f>
        <v>-36.121076341414643</v>
      </c>
      <c r="W129" s="12">
        <v>1.452E-2</v>
      </c>
      <c r="X129" s="13">
        <f>1-Table13[[#This Row],[one-year conditional mortality NOW]]</f>
        <v>0.98548000000000002</v>
      </c>
      <c r="Y129" s="49">
        <f>PRODUCT(X$17:X129)</f>
        <v>1.7008068500395932E-7</v>
      </c>
      <c r="Z129" s="13">
        <f>Table13[[#This Row],[one-year conditional survival NOW]]*(1-Table13[[#This Row],[Lapse rate]])</f>
        <v>0.95394464000000001</v>
      </c>
      <c r="AA129" s="13">
        <f>PRODUCT(Z$17:Z129)</f>
        <v>3.8099689163822016E-8</v>
      </c>
      <c r="AB129" s="50">
        <f>Y128*Table13[[#This Row],[one-year conditional mortality NOW]]</f>
        <v>2.505958057248741E-9</v>
      </c>
      <c r="AC129" s="14">
        <v>1.9699999999999999E-2</v>
      </c>
      <c r="AD129" s="28">
        <f>(1+Table13[[#This Row],[Yield curve now]])^(Table13[[#This Row],[age since issue]]-$B$11)</f>
        <v>2.4531905774738534</v>
      </c>
      <c r="AE129" s="46">
        <f t="shared" si="3"/>
        <v>9.426499747487334</v>
      </c>
      <c r="AF129" s="42">
        <f>1-Table13[[#This Row],[cumulative debt until t]]</f>
        <v>-8.426499747487334</v>
      </c>
      <c r="AG129" s="46">
        <f>Table13[[#This Row],[cumulative debt until t]]*Table13[[#This Row],[Unconditional mortality NOW]]/Table13[[#This Row],[discouter with yield curve]]</f>
        <v>9.6292612611426352E-9</v>
      </c>
      <c r="AH129" s="48">
        <f>Table13[[#This Row],[Unconditional mortality NOW]]/Table13[[#This Row],[discouter with yield curve]]</f>
        <v>1.0215097352237609E-9</v>
      </c>
      <c r="AI129" s="29">
        <f>Table13[[#This Row],[user profit (death benefit - debt)]]*Table13[[#This Row],[Unconditional mortality NOW]]/Table13[[#This Row],[discouter with yield curve]]</f>
        <v>-8.6077515259188743E-9</v>
      </c>
      <c r="AJ129" s="29">
        <f>(1+$D$4)^(Table13[[#This Row],[age since issue]]-$B$11)</f>
        <v>1.5804588547029363</v>
      </c>
      <c r="AK129" s="57">
        <f>Table13[[#This Row],[level premium marked up]]*Table13[[#This Row],[unconditional survival NOW]]</f>
        <v>4.1867047783324674E-10</v>
      </c>
      <c r="AL129" s="62">
        <f>Table13[[#This Row],[cumulative debt until t]]*Table13[[#This Row],[Unconditional mortality NOW]]</f>
        <v>2.3622412993869107E-8</v>
      </c>
      <c r="AM129" s="47">
        <f>Table13[[#This Row],[probablistic premium stream]]/Table13[[#This Row],[lender discounter]]</f>
        <v>2.6490438304510005E-10</v>
      </c>
      <c r="AN129" s="58">
        <f>Table13[[#This Row],[probablistic repay from borrower]]/Table13[[#This Row],[lender discounter]]</f>
        <v>1.494655360598374E-8</v>
      </c>
      <c r="AO129" s="47">
        <f>(Table13[[#This Row],[probablistic repay from borrower]]-Table13[[#This Row],[probablistic premium stream]])/Table13[[#This Row],[lender discounter]]</f>
        <v>1.4681649222938641E-8</v>
      </c>
      <c r="AP129" s="46">
        <f>AP128*(1+$D$4)+ Table13[[#This Row],[level premium marked up]]</f>
        <v>0.1467761613813752</v>
      </c>
      <c r="AQ129" s="58">
        <f>AP129*Table13[[#This Row],[Unconditional mortality NOW]]</f>
        <v>3.6781490422569869E-10</v>
      </c>
      <c r="AR129" s="60">
        <f>Table13[[#This Row],[cumulative debt until t]]*Table13[[#This Row],[Unconditional mortality NOW]]</f>
        <v>2.3622412993869107E-8</v>
      </c>
      <c r="AS129" s="58">
        <f>Table13[[#This Row],[lender to pay cumulative probablistic undiscounted]]/Table13[[#This Row],[lender discounter]]</f>
        <v>2.3272665601587795E-10</v>
      </c>
    </row>
    <row r="130" spans="1:45" s="3" customFormat="1">
      <c r="A130" s="3">
        <v>134</v>
      </c>
      <c r="B130" s="8">
        <v>3.2000000000000001E-2</v>
      </c>
      <c r="C130" s="3">
        <v>0</v>
      </c>
      <c r="D130" s="12">
        <v>3.2000000000000001E-2</v>
      </c>
      <c r="E130" s="66">
        <v>0.99999999989999999</v>
      </c>
      <c r="F130" s="13">
        <f>1-Table13[[#This Row],[one-year conditional mortality AT ISSUE]]</f>
        <v>1.000000082740371E-10</v>
      </c>
      <c r="G130" s="13">
        <f>PRODUCT(F$17:F130)</f>
        <v>1.0117507553767597E-151</v>
      </c>
      <c r="H130" s="13">
        <f>Table13[[#This Row],[one-year conditional survival AT ISSUE]]*(1-Table13[[#This Row],[Lapse rate]])</f>
        <v>9.6800008009267909E-11</v>
      </c>
      <c r="I130" s="13">
        <f>PRODUCT(H$17:H130)</f>
        <v>1.685322307684144E-153</v>
      </c>
      <c r="J130" s="13">
        <f>G129*Table13[[#This Row],[one-year conditional mortality AT ISSUE]]</f>
        <v>1.0117506715629587E-141</v>
      </c>
      <c r="K130" s="10">
        <f>I129*Table13[[#This Row],[one-year conditional mortality AT ISSUE]]</f>
        <v>1.7410352975944529E-143</v>
      </c>
      <c r="L130" s="3">
        <f t="shared" si="1"/>
        <v>2.4615991981893799E-3</v>
      </c>
      <c r="M130" s="44">
        <f>Table13[[#This Row],[Death benefit pay probability]]/Table13[[#This Row],[unconditional persistency AT ISSUE]]</f>
        <v>10330577656.607809</v>
      </c>
      <c r="N130" s="44">
        <f>Table13[[#This Row],[one-year conditional mortality AT ISSUE]]/Table13[[#This Row],[one-year conditional persistency AT ISSUE]]</f>
        <v>10330577656.607809</v>
      </c>
      <c r="O130" s="4">
        <f>(1+$B$14)^(Table13[[#This Row],[age since issue]]-$A$17)</f>
        <v>48.781991546141938</v>
      </c>
      <c r="P130" s="5">
        <f>(Table13[[#This Row],[level premium unmarked-up]]*Table13[[#This Row],[unconditional persistency AT ISSUE]]-Table13[[#This Row],[Death benefit pay probability]])</f>
        <v>-1.741035297594038E-143</v>
      </c>
      <c r="Q130" s="4">
        <f>Table13[[#This Row],[Issuer profit with unmarked-up level premium]]/Table13[[#This Row],[Issuer discounter at issue]]</f>
        <v>-3.5690123392096987E-145</v>
      </c>
      <c r="R130" s="4">
        <f>(Table13[[#This Row],[variable premium unmarked up]]*Table13[[#This Row],[unconditional persistency AT ISSUE]]-Table13[[#This Row],[Death benefit pay probability]])</f>
        <v>0</v>
      </c>
      <c r="S130" s="6">
        <f>Table13[[#This Row],[level premium unmarked-up]]*(1+$B$15)</f>
        <v>2.4615991981893799E-3</v>
      </c>
      <c r="T130" s="6">
        <f>MIN(Table13[[#This Row],[variable premium unmarked up]]*(1+$B$15),1)</f>
        <v>1</v>
      </c>
      <c r="U130" s="6">
        <f>Table13[[#This Row],[level premium marked up]]-Table13[[#This Row],[variable premium marked up]]</f>
        <v>-0.99753840080181067</v>
      </c>
      <c r="V130" s="6">
        <f>Table13[[#This Row],[additional cash]]+V129*(1+$D$2)</f>
        <v>-37.15473581855786</v>
      </c>
      <c r="W130" s="12">
        <v>1.6459999999999999E-2</v>
      </c>
      <c r="X130" s="13">
        <f>1-Table13[[#This Row],[one-year conditional mortality NOW]]</f>
        <v>0.98353999999999997</v>
      </c>
      <c r="Y130" s="49">
        <f>PRODUCT(X$17:X130)</f>
        <v>1.6728115692879414E-7</v>
      </c>
      <c r="Z130" s="13">
        <f>Table13[[#This Row],[one-year conditional survival NOW]]*(1-Table13[[#This Row],[Lapse rate]])</f>
        <v>0.95206671999999992</v>
      </c>
      <c r="AA130" s="13">
        <f>PRODUCT(Z$17:Z130)</f>
        <v>3.6273446095219566E-8</v>
      </c>
      <c r="AB130" s="50">
        <f>Y129*Table13[[#This Row],[one-year conditional mortality NOW]]</f>
        <v>2.7995280751651701E-9</v>
      </c>
      <c r="AC130" s="14">
        <v>1.9699999999999999E-2</v>
      </c>
      <c r="AD130" s="28">
        <f>(1+Table13[[#This Row],[Yield curve now]])^(Table13[[#This Row],[age since issue]]-$B$11)</f>
        <v>2.501518431850088</v>
      </c>
      <c r="AE130" s="46">
        <f t="shared" si="3"/>
        <v>10.784425625807705</v>
      </c>
      <c r="AF130" s="42">
        <f>1-Table13[[#This Row],[cumulative debt until t]]</f>
        <v>-9.7844256258077049</v>
      </c>
      <c r="AG130" s="46">
        <f>Table13[[#This Row],[cumulative debt until t]]*Table13[[#This Row],[Unconditional mortality NOW]]/Table13[[#This Row],[discouter with yield curve]]</f>
        <v>1.2069190428331288E-8</v>
      </c>
      <c r="AH130" s="48">
        <f>Table13[[#This Row],[Unconditional mortality NOW]]/Table13[[#This Row],[discouter with yield curve]]</f>
        <v>1.1191315001003923E-9</v>
      </c>
      <c r="AI130" s="29">
        <f>Table13[[#This Row],[user profit (death benefit - debt)]]*Table13[[#This Row],[Unconditional mortality NOW]]/Table13[[#This Row],[discouter with yield curve]]</f>
        <v>-1.0950058928230896E-8</v>
      </c>
      <c r="AJ130" s="29">
        <f>(1+$D$4)^(Table13[[#This Row],[age since issue]]-$B$11)</f>
        <v>1.5962634432499652</v>
      </c>
      <c r="AK130" s="57">
        <f>Table13[[#This Row],[level premium marked up]]*Table13[[#This Row],[unconditional survival NOW]]</f>
        <v>4.1177916176811146E-10</v>
      </c>
      <c r="AL130" s="62">
        <f>Table13[[#This Row],[cumulative debt until t]]*Table13[[#This Row],[Unconditional mortality NOW]]</f>
        <v>3.0191302313979376E-8</v>
      </c>
      <c r="AM130" s="47">
        <f>Table13[[#This Row],[probablistic premium stream]]/Table13[[#This Row],[lender discounter]]</f>
        <v>2.579644127724532E-10</v>
      </c>
      <c r="AN130" s="58">
        <f>Table13[[#This Row],[probablistic repay from borrower]]/Table13[[#This Row],[lender discounter]]</f>
        <v>1.8913734096741824E-8</v>
      </c>
      <c r="AO130" s="47">
        <f>(Table13[[#This Row],[probablistic repay from borrower]]-Table13[[#This Row],[probablistic premium stream]])/Table13[[#This Row],[lender discounter]]</f>
        <v>1.8655769683969372E-8</v>
      </c>
      <c r="AP130" s="46">
        <f>AP129*(1+$D$4)+ Table13[[#This Row],[level premium marked up]]</f>
        <v>0.15070552219337835</v>
      </c>
      <c r="AQ130" s="58">
        <f>AP130*Table13[[#This Row],[Unconditional mortality NOW]]</f>
        <v>4.2190434046279035E-10</v>
      </c>
      <c r="AR130" s="60">
        <f>Table13[[#This Row],[cumulative debt until t]]*Table13[[#This Row],[Unconditional mortality NOW]]</f>
        <v>3.0191302313979376E-8</v>
      </c>
      <c r="AS130" s="58">
        <f>Table13[[#This Row],[lender to pay cumulative probablistic undiscounted]]/Table13[[#This Row],[lender discounter]]</f>
        <v>2.6430746268535743E-10</v>
      </c>
    </row>
    <row r="131" spans="1:45" s="3" customFormat="1">
      <c r="A131" s="3">
        <v>135</v>
      </c>
      <c r="B131" s="8">
        <v>3.2000000000000001E-2</v>
      </c>
      <c r="C131" s="3">
        <v>0</v>
      </c>
      <c r="D131" s="12">
        <v>3.2000000000000001E-2</v>
      </c>
      <c r="E131" s="66">
        <v>0.99999999989999999</v>
      </c>
      <c r="F131" s="13">
        <f>1-Table13[[#This Row],[one-year conditional mortality AT ISSUE]]</f>
        <v>1.000000082740371E-10</v>
      </c>
      <c r="G131" s="13">
        <f>PRODUCT(F$17:F131)</f>
        <v>1.0117508390893925E-161</v>
      </c>
      <c r="H131" s="13">
        <f>Table13[[#This Row],[one-year conditional survival AT ISSUE]]*(1-Table13[[#This Row],[Lapse rate]])</f>
        <v>9.6800008009267909E-11</v>
      </c>
      <c r="I131" s="13">
        <f>PRODUCT(H$17:H131)</f>
        <v>1.6313921288202302E-163</v>
      </c>
      <c r="J131" s="13">
        <f>G130*Table13[[#This Row],[one-year conditional mortality AT ISSUE]]</f>
        <v>1.0117507552755846E-151</v>
      </c>
      <c r="K131" s="10">
        <f>I130*Table13[[#This Row],[one-year conditional mortality AT ISSUE]]</f>
        <v>1.6853223075156119E-153</v>
      </c>
      <c r="L131" s="3">
        <f t="shared" si="1"/>
        <v>2.4615991981893799E-3</v>
      </c>
      <c r="M131" s="44">
        <f>Table13[[#This Row],[Death benefit pay probability]]/Table13[[#This Row],[unconditional persistency AT ISSUE]]</f>
        <v>10330577656.607809</v>
      </c>
      <c r="N131" s="44">
        <f>Table13[[#This Row],[one-year conditional mortality AT ISSUE]]/Table13[[#This Row],[one-year conditional persistency AT ISSUE]]</f>
        <v>10330577656.607809</v>
      </c>
      <c r="O131" s="4">
        <f>(1+$B$14)^(Table13[[#This Row],[age since issue]]-$A$17)</f>
        <v>50.489361250256906</v>
      </c>
      <c r="P131" s="5">
        <f>(Table13[[#This Row],[level premium unmarked-up]]*Table13[[#This Row],[unconditional persistency AT ISSUE]]-Table13[[#This Row],[Death benefit pay probability]])</f>
        <v>-1.6853223075152102E-153</v>
      </c>
      <c r="Q131" s="4">
        <f>Table13[[#This Row],[Issuer profit with unmarked-up level premium]]/Table13[[#This Row],[Issuer discounter at issue]]</f>
        <v>-3.3379751016490326E-155</v>
      </c>
      <c r="R131" s="4">
        <f>(Table13[[#This Row],[variable premium unmarked up]]*Table13[[#This Row],[unconditional persistency AT ISSUE]]-Table13[[#This Row],[Death benefit pay probability]])</f>
        <v>0</v>
      </c>
      <c r="S131" s="6">
        <f>Table13[[#This Row],[level premium unmarked-up]]*(1+$B$15)</f>
        <v>2.4615991981893799E-3</v>
      </c>
      <c r="T131" s="6">
        <f>MIN(Table13[[#This Row],[variable premium unmarked up]]*(1+$B$15),1)</f>
        <v>1</v>
      </c>
      <c r="U131" s="6">
        <f>Table13[[#This Row],[level premium marked up]]-Table13[[#This Row],[variable premium marked up]]</f>
        <v>-0.99753840080181067</v>
      </c>
      <c r="V131" s="6">
        <f>Table13[[#This Row],[additional cash]]+V130*(1+$D$2)</f>
        <v>-38.189428955178222</v>
      </c>
      <c r="W131" s="12">
        <v>1.8669999999999999E-2</v>
      </c>
      <c r="X131" s="13">
        <f>1-Table13[[#This Row],[one-year conditional mortality NOW]]</f>
        <v>0.98133000000000004</v>
      </c>
      <c r="Y131" s="49">
        <f>PRODUCT(X$17:X131)</f>
        <v>1.6415801772893357E-7</v>
      </c>
      <c r="Z131" s="13">
        <f>Table13[[#This Row],[one-year conditional survival NOW]]*(1-Table13[[#This Row],[Lapse rate]])</f>
        <v>0.94992743999999996</v>
      </c>
      <c r="AA131" s="13">
        <f>PRODUCT(Z$17:Z131)</f>
        <v>3.4457141789209916E-8</v>
      </c>
      <c r="AB131" s="50">
        <f>Y130*Table13[[#This Row],[one-year conditional mortality NOW]]</f>
        <v>3.1231391998605863E-9</v>
      </c>
      <c r="AC131" s="14">
        <v>1.9699999999999999E-2</v>
      </c>
      <c r="AD131" s="28">
        <f>(1+Table13[[#This Row],[Yield curve now]])^(Table13[[#This Row],[age since issue]]-$B$11)</f>
        <v>2.5507983449575353</v>
      </c>
      <c r="AE131" s="46">
        <f t="shared" si="3"/>
        <v>12.337560706296021</v>
      </c>
      <c r="AF131" s="42">
        <f>1-Table13[[#This Row],[cumulative debt until t]]</f>
        <v>-11.337560706296021</v>
      </c>
      <c r="AG131" s="46">
        <f>Table13[[#This Row],[cumulative debt until t]]*Table13[[#This Row],[Unconditional mortality NOW]]/Table13[[#This Row],[discouter with yield curve]]</f>
        <v>1.5105827377010561E-8</v>
      </c>
      <c r="AH131" s="48">
        <f>Table13[[#This Row],[Unconditional mortality NOW]]/Table13[[#This Row],[discouter with yield curve]]</f>
        <v>1.2243771468781391E-9</v>
      </c>
      <c r="AI131" s="29">
        <f>Table13[[#This Row],[user profit (death benefit - debt)]]*Table13[[#This Row],[Unconditional mortality NOW]]/Table13[[#This Row],[discouter with yield curve]]</f>
        <v>-1.3881450230132421E-8</v>
      </c>
      <c r="AJ131" s="29">
        <f>(1+$D$4)^(Table13[[#This Row],[age since issue]]-$B$11)</f>
        <v>1.6122260776824653</v>
      </c>
      <c r="AK131" s="57">
        <f>Table13[[#This Row],[level premium marked up]]*Table13[[#This Row],[unconditional survival NOW]]</f>
        <v>4.040912448179009E-10</v>
      </c>
      <c r="AL131" s="62">
        <f>Table13[[#This Row],[cumulative debt until t]]*Table13[[#This Row],[Unconditional mortality NOW]]</f>
        <v>3.8531919472492767E-8</v>
      </c>
      <c r="AM131" s="47">
        <f>Table13[[#This Row],[probablistic premium stream]]/Table13[[#This Row],[lender discounter]]</f>
        <v>2.5064179919405097E-10</v>
      </c>
      <c r="AN131" s="58">
        <f>Table13[[#This Row],[probablistic repay from borrower]]/Table13[[#This Row],[lender discounter]]</f>
        <v>2.3899823979947923E-8</v>
      </c>
      <c r="AO131" s="47">
        <f>(Table13[[#This Row],[probablistic repay from borrower]]-Table13[[#This Row],[probablistic premium stream]])/Table13[[#This Row],[lender discounter]]</f>
        <v>2.3649182180753874E-8</v>
      </c>
      <c r="AP131" s="46">
        <f>AP130*(1+$D$4)+ Table13[[#This Row],[level premium marked up]]</f>
        <v>0.15467417661350152</v>
      </c>
      <c r="AQ131" s="58">
        <f>AP131*Table13[[#This Row],[Unconditional mortality NOW]]</f>
        <v>4.8306898418778618E-10</v>
      </c>
      <c r="AR131" s="60">
        <f>Table13[[#This Row],[cumulative debt until t]]*Table13[[#This Row],[Unconditional mortality NOW]]</f>
        <v>3.8531919472492767E-8</v>
      </c>
      <c r="AS131" s="58">
        <f>Table13[[#This Row],[lender to pay cumulative probablistic undiscounted]]/Table13[[#This Row],[lender discounter]]</f>
        <v>2.9962856380674962E-10</v>
      </c>
    </row>
    <row r="132" spans="1:45" s="3" customFormat="1">
      <c r="A132" s="3">
        <v>136</v>
      </c>
      <c r="B132" s="8">
        <v>3.2000000000000001E-2</v>
      </c>
      <c r="C132" s="3">
        <v>0</v>
      </c>
      <c r="D132" s="12">
        <v>3.2000000000000001E-2</v>
      </c>
      <c r="E132" s="66">
        <v>0.99999999989999999</v>
      </c>
      <c r="F132" s="13">
        <f>1-Table13[[#This Row],[one-year conditional mortality AT ISSUE]]</f>
        <v>1.000000082740371E-10</v>
      </c>
      <c r="G132" s="13">
        <f>PRODUCT(F$17:F132)</f>
        <v>1.0117509228020323E-171</v>
      </c>
      <c r="H132" s="13">
        <f>Table13[[#This Row],[one-year conditional survival AT ISSUE]]*(1-Table13[[#This Row],[Lapse rate]])</f>
        <v>9.6800008009267909E-11</v>
      </c>
      <c r="I132" s="13">
        <f>PRODUCT(H$17:H132)</f>
        <v>1.579187711360549E-173</v>
      </c>
      <c r="J132" s="13">
        <f>G131*Table13[[#This Row],[one-year conditional mortality AT ISSUE]]</f>
        <v>1.0117508389882174E-161</v>
      </c>
      <c r="K132" s="10">
        <f>I131*Table13[[#This Row],[one-year conditional mortality AT ISSUE]]</f>
        <v>1.631392128657091E-163</v>
      </c>
      <c r="L132" s="3">
        <f t="shared" si="1"/>
        <v>2.4615991981893799E-3</v>
      </c>
      <c r="M132" s="44">
        <f>Table13[[#This Row],[Death benefit pay probability]]/Table13[[#This Row],[unconditional persistency AT ISSUE]]</f>
        <v>10330577656.607809</v>
      </c>
      <c r="N132" s="44">
        <f>Table13[[#This Row],[one-year conditional mortality AT ISSUE]]/Table13[[#This Row],[one-year conditional persistency AT ISSUE]]</f>
        <v>10330577656.607809</v>
      </c>
      <c r="O132" s="4">
        <f>(1+$B$14)^(Table13[[#This Row],[age since issue]]-$A$17)</f>
        <v>52.256488894015888</v>
      </c>
      <c r="P132" s="5">
        <f>(Table13[[#This Row],[level premium unmarked-up]]*Table13[[#This Row],[unconditional persistency AT ISSUE]]-Table13[[#This Row],[Death benefit pay probability]])</f>
        <v>-1.6313921286567023E-163</v>
      </c>
      <c r="Q132" s="4">
        <f>Table13[[#This Row],[Issuer profit with unmarked-up level premium]]/Table13[[#This Row],[Issuer discounter at issue]]</f>
        <v>-3.1218938799455391E-165</v>
      </c>
      <c r="R132" s="4">
        <f>(Table13[[#This Row],[variable premium unmarked up]]*Table13[[#This Row],[unconditional persistency AT ISSUE]]-Table13[[#This Row],[Death benefit pay probability]])</f>
        <v>0</v>
      </c>
      <c r="S132" s="6">
        <f>Table13[[#This Row],[level premium unmarked-up]]*(1+$B$15)</f>
        <v>2.4615991981893799E-3</v>
      </c>
      <c r="T132" s="6">
        <f>MIN(Table13[[#This Row],[variable premium unmarked up]]*(1+$B$15),1)</f>
        <v>1</v>
      </c>
      <c r="U132" s="6">
        <f>Table13[[#This Row],[level premium marked up]]-Table13[[#This Row],[variable premium marked up]]</f>
        <v>-0.99753840080181067</v>
      </c>
      <c r="V132" s="6">
        <f>Table13[[#This Row],[additional cash]]+V131*(1+$D$2)</f>
        <v>-39.225156784935201</v>
      </c>
      <c r="W132" s="12">
        <v>2.1139999999999999E-2</v>
      </c>
      <c r="X132" s="13">
        <f>1-Table13[[#This Row],[one-year conditional mortality NOW]]</f>
        <v>0.97885999999999995</v>
      </c>
      <c r="Y132" s="49">
        <f>PRODUCT(X$17:X132)</f>
        <v>1.6068771723414391E-7</v>
      </c>
      <c r="Z132" s="13">
        <f>Table13[[#This Row],[one-year conditional survival NOW]]*(1-Table13[[#This Row],[Lapse rate]])</f>
        <v>0.9475364799999999</v>
      </c>
      <c r="AA132" s="13">
        <f>PRODUCT(Z$17:Z132)</f>
        <v>3.2649398841808863E-8</v>
      </c>
      <c r="AB132" s="50">
        <f>Y131*Table13[[#This Row],[one-year conditional mortality NOW]]</f>
        <v>3.4703004947896556E-9</v>
      </c>
      <c r="AC132" s="14">
        <v>1.9699999999999999E-2</v>
      </c>
      <c r="AD132" s="28">
        <f>(1+Table13[[#This Row],[Yield curve now]])^(Table13[[#This Row],[age since issue]]-$B$11)</f>
        <v>2.6010490723531987</v>
      </c>
      <c r="AE132" s="46">
        <f t="shared" si="3"/>
        <v>14.113967369395446</v>
      </c>
      <c r="AF132" s="42">
        <f>1-Table13[[#This Row],[cumulative debt until t]]</f>
        <v>-13.113967369395446</v>
      </c>
      <c r="AG132" s="46">
        <f>Table13[[#This Row],[cumulative debt until t]]*Table13[[#This Row],[Unconditional mortality NOW]]/Table13[[#This Row],[discouter with yield curve]]</f>
        <v>1.8830751201916222E-8</v>
      </c>
      <c r="AH132" s="48">
        <f>Table13[[#This Row],[Unconditional mortality NOW]]/Table13[[#This Row],[discouter with yield curve]]</f>
        <v>1.3341926269964737E-9</v>
      </c>
      <c r="AI132" s="29">
        <f>Table13[[#This Row],[user profit (death benefit - debt)]]*Table13[[#This Row],[Unconditional mortality NOW]]/Table13[[#This Row],[discouter with yield curve]]</f>
        <v>-1.7496558574919748E-8</v>
      </c>
      <c r="AJ132" s="29">
        <f>(1+$D$4)^(Table13[[#This Row],[age since issue]]-$B$11)</f>
        <v>1.6283483384592901</v>
      </c>
      <c r="AK132" s="57">
        <f>Table13[[#This Row],[level premium marked up]]*Table13[[#This Row],[unconditional survival NOW]]</f>
        <v>3.9554875590245046E-10</v>
      </c>
      <c r="AL132" s="62">
        <f>Table13[[#This Row],[cumulative debt until t]]*Table13[[#This Row],[Unconditional mortality NOW]]</f>
        <v>4.8979707945458072E-8</v>
      </c>
      <c r="AM132" s="47">
        <f>Table13[[#This Row],[probablistic premium stream]]/Table13[[#This Row],[lender discounter]]</f>
        <v>2.4291409065256311E-10</v>
      </c>
      <c r="AN132" s="58">
        <f>Table13[[#This Row],[probablistic repay from borrower]]/Table13[[#This Row],[lender discounter]]</f>
        <v>3.007937969329196E-8</v>
      </c>
      <c r="AO132" s="47">
        <f>(Table13[[#This Row],[probablistic repay from borrower]]-Table13[[#This Row],[probablistic premium stream]])/Table13[[#This Row],[lender discounter]]</f>
        <v>2.9836465602639394E-8</v>
      </c>
      <c r="AP132" s="46">
        <f>AP131*(1+$D$4)+ Table13[[#This Row],[level premium marked up]]</f>
        <v>0.15868251757782592</v>
      </c>
      <c r="AQ132" s="58">
        <f>AP132*Table13[[#This Row],[Unconditional mortality NOW]]</f>
        <v>5.5067601926479749E-10</v>
      </c>
      <c r="AR132" s="60">
        <f>Table13[[#This Row],[cumulative debt until t]]*Table13[[#This Row],[Unconditional mortality NOW]]</f>
        <v>4.8979707945458072E-8</v>
      </c>
      <c r="AS132" s="58">
        <f>Table13[[#This Row],[lender to pay cumulative probablistic undiscounted]]/Table13[[#This Row],[lender discounter]]</f>
        <v>3.3818072353353822E-10</v>
      </c>
    </row>
    <row r="133" spans="1:45" s="3" customFormat="1">
      <c r="A133" s="3">
        <v>137</v>
      </c>
      <c r="B133" s="8">
        <v>3.2000000000000001E-2</v>
      </c>
      <c r="C133" s="3">
        <v>0</v>
      </c>
      <c r="D133" s="12">
        <v>3.2000000000000001E-2</v>
      </c>
      <c r="E133" s="66">
        <v>0.99999999989999999</v>
      </c>
      <c r="F133" s="13">
        <f>1-Table13[[#This Row],[one-year conditional mortality AT ISSUE]]</f>
        <v>1.000000082740371E-10</v>
      </c>
      <c r="G133" s="13">
        <f>PRODUCT(F$17:F133)</f>
        <v>1.0117510065146791E-181</v>
      </c>
      <c r="H133" s="13">
        <f>Table13[[#This Row],[one-year conditional survival AT ISSUE]]*(1-Table13[[#This Row],[Lapse rate]])</f>
        <v>9.6800008009267909E-11</v>
      </c>
      <c r="I133" s="13">
        <f>PRODUCT(H$17:H133)</f>
        <v>1.528653831078386E-183</v>
      </c>
      <c r="J133" s="13">
        <f>G132*Table13[[#This Row],[one-year conditional mortality AT ISSUE]]</f>
        <v>1.0117509227008572E-171</v>
      </c>
      <c r="K133" s="10">
        <f>I132*Table13[[#This Row],[one-year conditional mortality AT ISSUE]]</f>
        <v>1.5791877112026301E-173</v>
      </c>
      <c r="L133" s="3">
        <f t="shared" si="1"/>
        <v>2.4615991981893799E-3</v>
      </c>
      <c r="M133" s="44">
        <f>Table13[[#This Row],[Death benefit pay probability]]/Table13[[#This Row],[unconditional persistency AT ISSUE]]</f>
        <v>10330577656.607807</v>
      </c>
      <c r="N133" s="44">
        <f>Table13[[#This Row],[one-year conditional mortality AT ISSUE]]/Table13[[#This Row],[one-year conditional persistency AT ISSUE]]</f>
        <v>10330577656.607809</v>
      </c>
      <c r="O133" s="4">
        <f>(1+$B$14)^(Table13[[#This Row],[age since issue]]-$A$17)</f>
        <v>54.085466005306444</v>
      </c>
      <c r="P133" s="5">
        <f>(Table13[[#This Row],[level premium unmarked-up]]*Table13[[#This Row],[unconditional persistency AT ISSUE]]-Table13[[#This Row],[Death benefit pay probability]])</f>
        <v>-1.5791877112022538E-173</v>
      </c>
      <c r="Q133" s="4">
        <f>Table13[[#This Row],[Issuer profit with unmarked-up level premium]]/Table13[[#This Row],[Issuer discounter at issue]]</f>
        <v>-2.9198005080464988E-175</v>
      </c>
      <c r="R133" s="4">
        <f>(Table13[[#This Row],[variable premium unmarked up]]*Table13[[#This Row],[unconditional persistency AT ISSUE]]-Table13[[#This Row],[Death benefit pay probability]])</f>
        <v>-1.7955302187076838E-189</v>
      </c>
      <c r="S133" s="6">
        <f>Table13[[#This Row],[level premium unmarked-up]]*(1+$B$15)</f>
        <v>2.4615991981893799E-3</v>
      </c>
      <c r="T133" s="6">
        <f>MIN(Table13[[#This Row],[variable premium unmarked up]]*(1+$B$15),1)</f>
        <v>1</v>
      </c>
      <c r="U133" s="6">
        <f>Table13[[#This Row],[level premium marked up]]-Table13[[#This Row],[variable premium marked up]]</f>
        <v>-0.99753840080181067</v>
      </c>
      <c r="V133" s="6">
        <f>Table13[[#This Row],[additional cash]]+V132*(1+$D$2)</f>
        <v>-40.26192034252194</v>
      </c>
      <c r="W133" s="12">
        <v>2.385E-2</v>
      </c>
      <c r="X133" s="13">
        <f>1-Table13[[#This Row],[one-year conditional mortality NOW]]</f>
        <v>0.97614999999999996</v>
      </c>
      <c r="Y133" s="49">
        <f>PRODUCT(X$17:X133)</f>
        <v>1.5685531517810958E-7</v>
      </c>
      <c r="Z133" s="13">
        <f>Table13[[#This Row],[one-year conditional survival NOW]]*(1-Table13[[#This Row],[Lapse rate]])</f>
        <v>0.9449131999999999</v>
      </c>
      <c r="AA133" s="13">
        <f>PRODUCT(Z$17:Z133)</f>
        <v>3.0850847937689901E-8</v>
      </c>
      <c r="AB133" s="50">
        <f>Y132*Table13[[#This Row],[one-year conditional mortality NOW]]</f>
        <v>3.8324020560343322E-9</v>
      </c>
      <c r="AC133" s="14">
        <v>1.9699999999999999E-2</v>
      </c>
      <c r="AD133" s="28">
        <f>(1+Table13[[#This Row],[Yield curve now]])^(Table13[[#This Row],[age since issue]]-$B$11)</f>
        <v>2.6522897390785567</v>
      </c>
      <c r="AE133" s="46">
        <f t="shared" si="3"/>
        <v>16.145742114778116</v>
      </c>
      <c r="AF133" s="42">
        <f>1-Table13[[#This Row],[cumulative debt until t]]</f>
        <v>-15.145742114778116</v>
      </c>
      <c r="AG133" s="46">
        <f>Table13[[#This Row],[cumulative debt until t]]*Table13[[#This Row],[Unconditional mortality NOW]]/Table13[[#This Row],[discouter with yield curve]]</f>
        <v>2.3329643954499746E-8</v>
      </c>
      <c r="AH133" s="48">
        <f>Table13[[#This Row],[Unconditional mortality NOW]]/Table13[[#This Row],[discouter with yield curve]]</f>
        <v>1.4449409502921665E-9</v>
      </c>
      <c r="AI133" s="29">
        <f>Table13[[#This Row],[user profit (death benefit - debt)]]*Table13[[#This Row],[Unconditional mortality NOW]]/Table13[[#This Row],[discouter with yield curve]]</f>
        <v>-2.1884703004207582E-8</v>
      </c>
      <c r="AJ133" s="29">
        <f>(1+$D$4)^(Table13[[#This Row],[age since issue]]-$B$11)</f>
        <v>1.6446318218438831</v>
      </c>
      <c r="AK133" s="57">
        <f>Table13[[#This Row],[level premium marked up]]*Table13[[#This Row],[unconditional survival NOW]]</f>
        <v>3.8611491807417699E-10</v>
      </c>
      <c r="AL133" s="62">
        <f>Table13[[#This Row],[cumulative debt until t]]*Table13[[#This Row],[Unconditional mortality NOW]]</f>
        <v>6.1876975276875755E-8</v>
      </c>
      <c r="AM133" s="47">
        <f>Table13[[#This Row],[probablistic premium stream]]/Table13[[#This Row],[lender discounter]]</f>
        <v>2.3477286098069249E-10</v>
      </c>
      <c r="AN133" s="58">
        <f>Table13[[#This Row],[probablistic repay from borrower]]/Table13[[#This Row],[lender discounter]]</f>
        <v>3.7623603322658701E-8</v>
      </c>
      <c r="AO133" s="47">
        <f>(Table13[[#This Row],[probablistic repay from borrower]]-Table13[[#This Row],[probablistic premium stream]])/Table13[[#This Row],[lender discounter]]</f>
        <v>3.7388830461678011E-8</v>
      </c>
      <c r="AP133" s="46">
        <f>AP132*(1+$D$4)+ Table13[[#This Row],[level premium marked up]]</f>
        <v>0.16273094195179358</v>
      </c>
      <c r="AQ133" s="58">
        <f>AP133*Table13[[#This Row],[Unconditional mortality NOW]]</f>
        <v>6.2365039651645731E-10</v>
      </c>
      <c r="AR133" s="60">
        <f>Table13[[#This Row],[cumulative debt until t]]*Table13[[#This Row],[Unconditional mortality NOW]]</f>
        <v>6.1876975276875755E-8</v>
      </c>
      <c r="AS133" s="58">
        <f>Table13[[#This Row],[lender to pay cumulative probablistic undiscounted]]/Table13[[#This Row],[lender discounter]]</f>
        <v>3.7920365411466382E-10</v>
      </c>
    </row>
    <row r="134" spans="1:45" s="3" customFormat="1">
      <c r="A134" s="3">
        <v>138</v>
      </c>
      <c r="B134" s="8">
        <v>3.2000000000000001E-2</v>
      </c>
      <c r="C134" s="3">
        <v>0</v>
      </c>
      <c r="D134" s="12">
        <v>3.2000000000000001E-2</v>
      </c>
      <c r="E134" s="66">
        <v>0.99999999989999999</v>
      </c>
      <c r="F134" s="13">
        <f>1-Table13[[#This Row],[one-year conditional mortality AT ISSUE]]</f>
        <v>1.000000082740371E-10</v>
      </c>
      <c r="G134" s="13">
        <f>PRODUCT(F$17:F134)</f>
        <v>1.0117510902273327E-191</v>
      </c>
      <c r="H134" s="13">
        <f>Table13[[#This Row],[one-year conditional survival AT ISSUE]]*(1-Table13[[#This Row],[Lapse rate]])</f>
        <v>9.6800008009267909E-11</v>
      </c>
      <c r="I134" s="13">
        <f>PRODUCT(H$17:H134)</f>
        <v>1.4797370309178585E-193</v>
      </c>
      <c r="J134" s="13">
        <f>G133*Table13[[#This Row],[one-year conditional mortality AT ISSUE]]</f>
        <v>1.011751006413504E-181</v>
      </c>
      <c r="K134" s="10">
        <f>I133*Table13[[#This Row],[one-year conditional mortality AT ISSUE]]</f>
        <v>1.5286538309255207E-183</v>
      </c>
      <c r="L134" s="3">
        <f t="shared" si="1"/>
        <v>2.4615991981893799E-3</v>
      </c>
      <c r="M134" s="44">
        <f>Table13[[#This Row],[Death benefit pay probability]]/Table13[[#This Row],[unconditional persistency AT ISSUE]]</f>
        <v>10330577656.607809</v>
      </c>
      <c r="N134" s="44">
        <f>Table13[[#This Row],[one-year conditional mortality AT ISSUE]]/Table13[[#This Row],[one-year conditional persistency AT ISSUE]]</f>
        <v>10330577656.607809</v>
      </c>
      <c r="O134" s="4">
        <f>(1+$B$14)^(Table13[[#This Row],[age since issue]]-$A$17)</f>
        <v>55.978457315492157</v>
      </c>
      <c r="P134" s="5">
        <f>(Table13[[#This Row],[level premium unmarked-up]]*Table13[[#This Row],[unconditional persistency AT ISSUE]]-Table13[[#This Row],[Death benefit pay probability]])</f>
        <v>-1.5286538309251563E-183</v>
      </c>
      <c r="Q134" s="4">
        <f>Table13[[#This Row],[Issuer profit with unmarked-up level premium]]/Table13[[#This Row],[Issuer discounter at issue]]</f>
        <v>-2.7307894933755133E-185</v>
      </c>
      <c r="R134" s="4">
        <f>(Table13[[#This Row],[variable premium unmarked up]]*Table13[[#This Row],[unconditional persistency AT ISSUE]]-Table13[[#This Row],[Death benefit pay probability]])</f>
        <v>0</v>
      </c>
      <c r="S134" s="6">
        <f>Table13[[#This Row],[level premium unmarked-up]]*(1+$B$15)</f>
        <v>2.4615991981893799E-3</v>
      </c>
      <c r="T134" s="6">
        <f>MIN(Table13[[#This Row],[variable premium unmarked up]]*(1+$B$15),1)</f>
        <v>1</v>
      </c>
      <c r="U134" s="6">
        <f>Table13[[#This Row],[level premium marked up]]-Table13[[#This Row],[variable premium marked up]]</f>
        <v>-0.99753840080181067</v>
      </c>
      <c r="V134" s="6">
        <f>Table13[[#This Row],[additional cash]]+V133*(1+$D$2)</f>
        <v>-41.299720663666264</v>
      </c>
      <c r="W134" s="12">
        <v>2.683E-2</v>
      </c>
      <c r="X134" s="13">
        <f>1-Table13[[#This Row],[one-year conditional mortality NOW]]</f>
        <v>0.97316999999999998</v>
      </c>
      <c r="Y134" s="49">
        <f>PRODUCT(X$17:X134)</f>
        <v>1.526468870718809E-7</v>
      </c>
      <c r="Z134" s="13">
        <f>Table13[[#This Row],[one-year conditional survival NOW]]*(1-Table13[[#This Row],[Lapse rate]])</f>
        <v>0.9420285599999999</v>
      </c>
      <c r="AA134" s="13">
        <f>PRODUCT(Z$17:Z134)</f>
        <v>2.9062379857520983E-8</v>
      </c>
      <c r="AB134" s="50">
        <f>Y133*Table13[[#This Row],[one-year conditional mortality NOW]]</f>
        <v>4.2084281062286803E-9</v>
      </c>
      <c r="AC134" s="14">
        <v>1.9699999999999999E-2</v>
      </c>
      <c r="AD134" s="28">
        <f>(1+Table13[[#This Row],[Yield curve now]])^(Table13[[#This Row],[age since issue]]-$B$11)</f>
        <v>2.7045398469384043</v>
      </c>
      <c r="AE134" s="46">
        <f t="shared" si="3"/>
        <v>18.469595487840898</v>
      </c>
      <c r="AF134" s="42">
        <f>1-Table13[[#This Row],[cumulative debt until t]]</f>
        <v>-17.469595487840898</v>
      </c>
      <c r="AG134" s="46">
        <f>Table13[[#This Row],[cumulative debt until t]]*Table13[[#This Row],[Unconditional mortality NOW]]/Table13[[#This Row],[discouter with yield curve]]</f>
        <v>2.873981126574775E-8</v>
      </c>
      <c r="AH134" s="48">
        <f>Table13[[#This Row],[Unconditional mortality NOW]]/Table13[[#This Row],[discouter with yield curve]]</f>
        <v>1.5560606773801869E-9</v>
      </c>
      <c r="AI134" s="29">
        <f>Table13[[#This Row],[user profit (death benefit - debt)]]*Table13[[#This Row],[Unconditional mortality NOW]]/Table13[[#This Row],[discouter with yield curve]]</f>
        <v>-2.7183750588367565E-8</v>
      </c>
      <c r="AJ134" s="29">
        <f>(1+$D$4)^(Table13[[#This Row],[age since issue]]-$B$11)</f>
        <v>1.6610781400623216</v>
      </c>
      <c r="AK134" s="57">
        <f>Table13[[#This Row],[level premium marked up]]*Table13[[#This Row],[unconditional survival NOW]]</f>
        <v>3.7575545482224687E-10</v>
      </c>
      <c r="AL134" s="62">
        <f>Table13[[#This Row],[cumulative debt until t]]*Table13[[#This Row],[Unconditional mortality NOW]]</f>
        <v>7.7727964761704047E-8</v>
      </c>
      <c r="AM134" s="47">
        <f>Table13[[#This Row],[probablistic premium stream]]/Table13[[#This Row],[lender discounter]]</f>
        <v>2.2621178724809961E-10</v>
      </c>
      <c r="AN134" s="58">
        <f>Table13[[#This Row],[probablistic repay from borrower]]/Table13[[#This Row],[lender discounter]]</f>
        <v>4.6793683504129304E-8</v>
      </c>
      <c r="AO134" s="47">
        <f>(Table13[[#This Row],[probablistic repay from borrower]]-Table13[[#This Row],[probablistic premium stream]])/Table13[[#This Row],[lender discounter]]</f>
        <v>4.656747171688121E-8</v>
      </c>
      <c r="AP134" s="46">
        <f>AP133*(1+$D$4)+ Table13[[#This Row],[level premium marked up]]</f>
        <v>0.16681985056950091</v>
      </c>
      <c r="AQ134" s="58">
        <f>AP134*Table13[[#This Row],[Unconditional mortality NOW]]</f>
        <v>7.0204934781355616E-10</v>
      </c>
      <c r="AR134" s="60">
        <f>Table13[[#This Row],[cumulative debt until t]]*Table13[[#This Row],[Unconditional mortality NOW]]</f>
        <v>7.7727964761704047E-8</v>
      </c>
      <c r="AS134" s="58">
        <f>Table13[[#This Row],[lender to pay cumulative probablistic undiscounted]]/Table13[[#This Row],[lender discounter]]</f>
        <v>4.2264679239425552E-10</v>
      </c>
    </row>
    <row r="135" spans="1:45" s="3" customFormat="1">
      <c r="A135" s="3">
        <v>139</v>
      </c>
      <c r="B135" s="8">
        <v>3.2000000000000001E-2</v>
      </c>
      <c r="C135" s="3">
        <v>0</v>
      </c>
      <c r="D135" s="12">
        <v>3.2000000000000001E-2</v>
      </c>
      <c r="E135" s="66">
        <v>0.99999999989999999</v>
      </c>
      <c r="F135" s="13">
        <f>1-Table13[[#This Row],[one-year conditional mortality AT ISSUE]]</f>
        <v>1.000000082740371E-10</v>
      </c>
      <c r="G135" s="13">
        <f>PRODUCT(F$17:F135)</f>
        <v>1.0117511739399932E-201</v>
      </c>
      <c r="H135" s="13">
        <f>Table13[[#This Row],[one-year conditional survival AT ISSUE]]*(1-Table13[[#This Row],[Lapse rate]])</f>
        <v>9.6800008009267909E-11</v>
      </c>
      <c r="I135" s="13">
        <f>PRODUCT(H$17:H135)</f>
        <v>1.4323855644445903E-203</v>
      </c>
      <c r="J135" s="13">
        <f>G134*Table13[[#This Row],[one-year conditional mortality AT ISSUE]]</f>
        <v>1.0117510901261576E-191</v>
      </c>
      <c r="K135" s="10">
        <f>I134*Table13[[#This Row],[one-year conditional mortality AT ISSUE]]</f>
        <v>1.4797370307698848E-193</v>
      </c>
      <c r="L135" s="3">
        <f t="shared" si="1"/>
        <v>2.4615991981893799E-3</v>
      </c>
      <c r="M135" s="44">
        <f>Table13[[#This Row],[Death benefit pay probability]]/Table13[[#This Row],[unconditional persistency AT ISSUE]]</f>
        <v>10330577656.607809</v>
      </c>
      <c r="N135" s="44">
        <f>Table13[[#This Row],[one-year conditional mortality AT ISSUE]]/Table13[[#This Row],[one-year conditional persistency AT ISSUE]]</f>
        <v>10330577656.607809</v>
      </c>
      <c r="O135" s="4">
        <f>(1+$B$14)^(Table13[[#This Row],[age since issue]]-$A$17)</f>
        <v>57.937703321534379</v>
      </c>
      <c r="P135" s="5">
        <f>(Table13[[#This Row],[level premium unmarked-up]]*Table13[[#This Row],[unconditional persistency AT ISSUE]]-Table13[[#This Row],[Death benefit pay probability]])</f>
        <v>-1.4797370307695322E-193</v>
      </c>
      <c r="Q135" s="4">
        <f>Table13[[#This Row],[Issuer profit with unmarked-up level premium]]/Table13[[#This Row],[Issuer discounter at issue]]</f>
        <v>-2.5540139597137622E-195</v>
      </c>
      <c r="R135" s="4">
        <f>(Table13[[#This Row],[variable premium unmarked up]]*Table13[[#This Row],[unconditional persistency AT ISSUE]]-Table13[[#This Row],[Death benefit pay probability]])</f>
        <v>0</v>
      </c>
      <c r="S135" s="6">
        <f>Table13[[#This Row],[level premium unmarked-up]]*(1+$B$15)</f>
        <v>2.4615991981893799E-3</v>
      </c>
      <c r="T135" s="6">
        <f>MIN(Table13[[#This Row],[variable premium unmarked up]]*(1+$B$15),1)</f>
        <v>1</v>
      </c>
      <c r="U135" s="6">
        <f>Table13[[#This Row],[level premium marked up]]-Table13[[#This Row],[variable premium marked up]]</f>
        <v>-0.99753840080181067</v>
      </c>
      <c r="V135" s="6">
        <f>Table13[[#This Row],[additional cash]]+V134*(1+$D$2)</f>
        <v>-42.338558785131731</v>
      </c>
      <c r="W135" s="12">
        <v>3.0130000000000001E-2</v>
      </c>
      <c r="X135" s="13">
        <f>1-Table13[[#This Row],[one-year conditional mortality NOW]]</f>
        <v>0.96987000000000001</v>
      </c>
      <c r="Y135" s="49">
        <f>PRODUCT(X$17:X135)</f>
        <v>1.4804763636440512E-7</v>
      </c>
      <c r="Z135" s="13">
        <f>Table13[[#This Row],[one-year conditional survival NOW]]*(1-Table13[[#This Row],[Lapse rate]])</f>
        <v>0.93883415999999997</v>
      </c>
      <c r="AA135" s="13">
        <f>PRODUCT(Z$17:Z135)</f>
        <v>2.728475498113663E-8</v>
      </c>
      <c r="AB135" s="50">
        <f>Y134*Table13[[#This Row],[one-year conditional mortality NOW]]</f>
        <v>4.5992507074757714E-9</v>
      </c>
      <c r="AC135" s="14">
        <v>1.9699999999999999E-2</v>
      </c>
      <c r="AD135" s="28">
        <f>(1+Table13[[#This Row],[Yield curve now]])^(Table13[[#This Row],[age since issue]]-$B$11)</f>
        <v>2.7578192819230911</v>
      </c>
      <c r="AE135" s="46">
        <f t="shared" si="3"/>
        <v>21.127515373776962</v>
      </c>
      <c r="AF135" s="42">
        <f>1-Table13[[#This Row],[cumulative debt until t]]</f>
        <v>-20.127515373776962</v>
      </c>
      <c r="AG135" s="46">
        <f>Table13[[#This Row],[cumulative debt until t]]*Table13[[#This Row],[Unconditional mortality NOW]]/Table13[[#This Row],[discouter with yield curve]]</f>
        <v>3.5234629283717797E-8</v>
      </c>
      <c r="AH135" s="48">
        <f>Table13[[#This Row],[Unconditional mortality NOW]]/Table13[[#This Row],[discouter with yield curve]]</f>
        <v>1.6677128692307233E-9</v>
      </c>
      <c r="AI135" s="29">
        <f>Table13[[#This Row],[user profit (death benefit - debt)]]*Table13[[#This Row],[Unconditional mortality NOW]]/Table13[[#This Row],[discouter with yield curve]]</f>
        <v>-3.3566916414487074E-8</v>
      </c>
      <c r="AJ135" s="29">
        <f>(1+$D$4)^(Table13[[#This Row],[age since issue]]-$B$11)</f>
        <v>1.6776889214629449</v>
      </c>
      <c r="AK135" s="57">
        <f>Table13[[#This Row],[level premium marked up]]*Table13[[#This Row],[unconditional survival NOW]]</f>
        <v>3.6443394296845253E-10</v>
      </c>
      <c r="AL135" s="62">
        <f>Table13[[#This Row],[cumulative debt until t]]*Table13[[#This Row],[Unconditional mortality NOW]]</f>
        <v>9.7170740030048931E-8</v>
      </c>
      <c r="AM135" s="47">
        <f>Table13[[#This Row],[probablistic premium stream]]/Table13[[#This Row],[lender discounter]]</f>
        <v>2.1722378821615278E-10</v>
      </c>
      <c r="AN135" s="58">
        <f>Table13[[#This Row],[probablistic repay from borrower]]/Table13[[#This Row],[lender discounter]]</f>
        <v>5.7919402570362115E-8</v>
      </c>
      <c r="AO135" s="47">
        <f>(Table13[[#This Row],[probablistic repay from borrower]]-Table13[[#This Row],[probablistic premium stream]])/Table13[[#This Row],[lender discounter]]</f>
        <v>5.7702178782145962E-8</v>
      </c>
      <c r="AP135" s="46">
        <f>AP134*(1+$D$4)+ Table13[[#This Row],[level premium marked up]]</f>
        <v>0.17094964827338532</v>
      </c>
      <c r="AQ135" s="58">
        <f>AP135*Table13[[#This Row],[Unconditional mortality NOW]]</f>
        <v>7.862402907641017E-10</v>
      </c>
      <c r="AR135" s="60">
        <f>Table13[[#This Row],[cumulative debt until t]]*Table13[[#This Row],[Unconditional mortality NOW]]</f>
        <v>9.7170740030048931E-8</v>
      </c>
      <c r="AS135" s="58">
        <f>Table13[[#This Row],[lender to pay cumulative probablistic undiscounted]]/Table13[[#This Row],[lender discounter]]</f>
        <v>4.6864486062082364E-10</v>
      </c>
    </row>
    <row r="136" spans="1:45" s="3" customFormat="1">
      <c r="A136" s="3">
        <v>140</v>
      </c>
      <c r="B136" s="8">
        <v>3.2000000000000001E-2</v>
      </c>
      <c r="C136" s="3">
        <v>0</v>
      </c>
      <c r="D136" s="12">
        <v>3.2000000000000001E-2</v>
      </c>
      <c r="E136" s="66">
        <v>0.99999999989999999</v>
      </c>
      <c r="F136" s="13">
        <f>1-Table13[[#This Row],[one-year conditional mortality AT ISSUE]]</f>
        <v>1.000000082740371E-10</v>
      </c>
      <c r="G136" s="13">
        <f>PRODUCT(F$17:F136)</f>
        <v>1.0117512576526608E-211</v>
      </c>
      <c r="H136" s="13">
        <f>Table13[[#This Row],[one-year conditional survival AT ISSUE]]*(1-Table13[[#This Row],[Lapse rate]])</f>
        <v>9.6800008009267909E-11</v>
      </c>
      <c r="I136" s="13">
        <f>PRODUCT(H$17:H136)</f>
        <v>1.3865493411059608E-213</v>
      </c>
      <c r="J136" s="13">
        <f>G135*Table13[[#This Row],[one-year conditional mortality AT ISSUE]]</f>
        <v>1.0117511738388181E-201</v>
      </c>
      <c r="K136" s="10">
        <f>I135*Table13[[#This Row],[one-year conditional mortality AT ISSUE]]</f>
        <v>1.4323855643013516E-203</v>
      </c>
      <c r="L136" s="3">
        <f t="shared" si="1"/>
        <v>2.4615991981893799E-3</v>
      </c>
      <c r="M136" s="44">
        <f>Table13[[#This Row],[Death benefit pay probability]]/Table13[[#This Row],[unconditional persistency AT ISSUE]]</f>
        <v>10330577656.607807</v>
      </c>
      <c r="N136" s="44">
        <f>Table13[[#This Row],[one-year conditional mortality AT ISSUE]]/Table13[[#This Row],[one-year conditional persistency AT ISSUE]]</f>
        <v>10330577656.607809</v>
      </c>
      <c r="O136" s="4">
        <f>(1+$B$14)^(Table13[[#This Row],[age since issue]]-$A$17)</f>
        <v>59.965522937788087</v>
      </c>
      <c r="P136" s="5">
        <f>(Table13[[#This Row],[level premium unmarked-up]]*Table13[[#This Row],[unconditional persistency AT ISSUE]]-Table13[[#This Row],[Death benefit pay probability]])</f>
        <v>-1.4323855643010103E-203</v>
      </c>
      <c r="Q136" s="4">
        <f>Table13[[#This Row],[Issuer profit with unmarked-up level premium]]/Table13[[#This Row],[Issuer discounter at issue]]</f>
        <v>-2.3886818527156931E-205</v>
      </c>
      <c r="R136" s="4">
        <f>(Table13[[#This Row],[variable premium unmarked up]]*Table13[[#This Row],[unconditional persistency AT ISSUE]]-Table13[[#This Row],[Death benefit pay probability]])</f>
        <v>0</v>
      </c>
      <c r="S136" s="6">
        <f>Table13[[#This Row],[level premium unmarked-up]]*(1+$B$15)</f>
        <v>2.4615991981893799E-3</v>
      </c>
      <c r="T136" s="6">
        <f>MIN(Table13[[#This Row],[variable premium unmarked up]]*(1+$B$15),1)</f>
        <v>1</v>
      </c>
      <c r="U136" s="6">
        <f>Table13[[#This Row],[level premium marked up]]-Table13[[#This Row],[variable premium marked up]]</f>
        <v>-0.99753840080181067</v>
      </c>
      <c r="V136" s="6">
        <f>Table13[[#This Row],[additional cash]]+V135*(1+$D$2)</f>
        <v>-43.378435744718665</v>
      </c>
      <c r="W136" s="12">
        <v>3.39E-2</v>
      </c>
      <c r="X136" s="13">
        <f>1-Table13[[#This Row],[one-year conditional mortality NOW]]</f>
        <v>0.96609999999999996</v>
      </c>
      <c r="Y136" s="49">
        <f>PRODUCT(X$17:X136)</f>
        <v>1.4302882149165179E-7</v>
      </c>
      <c r="Z136" s="13">
        <f>Table13[[#This Row],[one-year conditional survival NOW]]*(1-Table13[[#This Row],[Lapse rate]])</f>
        <v>0.93518479999999993</v>
      </c>
      <c r="AA136" s="13">
        <f>PRODUCT(Z$17:Z136)</f>
        <v>2.5516288130083261E-8</v>
      </c>
      <c r="AB136" s="50">
        <f>Y135*Table13[[#This Row],[one-year conditional mortality NOW]]</f>
        <v>5.0188148727533339E-9</v>
      </c>
      <c r="AC136" s="14">
        <v>1.9699999999999999E-2</v>
      </c>
      <c r="AD136" s="28">
        <f>(1+Table13[[#This Row],[Yield curve now]])^(Table13[[#This Row],[age since issue]]-$B$11)</f>
        <v>2.8121483217769763</v>
      </c>
      <c r="AE136" s="46">
        <f t="shared" si="3"/>
        <v>24.167525643763785</v>
      </c>
      <c r="AF136" s="42">
        <f>1-Table13[[#This Row],[cumulative debt until t]]</f>
        <v>-23.167525643763785</v>
      </c>
      <c r="AG136" s="46">
        <f>Table13[[#This Row],[cumulative debt until t]]*Table13[[#This Row],[Unconditional mortality NOW]]/Table13[[#This Row],[discouter with yield curve]]</f>
        <v>4.3131557535317173E-8</v>
      </c>
      <c r="AH136" s="48">
        <f>Table13[[#This Row],[Unconditional mortality NOW]]/Table13[[#This Row],[discouter with yield curve]]</f>
        <v>1.7846906700788744E-9</v>
      </c>
      <c r="AI136" s="29">
        <f>Table13[[#This Row],[user profit (death benefit - debt)]]*Table13[[#This Row],[Unconditional mortality NOW]]/Table13[[#This Row],[discouter with yield curve]]</f>
        <v>-4.1346866865238296E-8</v>
      </c>
      <c r="AJ136" s="29">
        <f>(1+$D$4)^(Table13[[#This Row],[age since issue]]-$B$11)</f>
        <v>1.6944658106775741</v>
      </c>
      <c r="AK136" s="57">
        <f>Table13[[#This Row],[level premium marked up]]*Table13[[#This Row],[unconditional survival NOW]]</f>
        <v>3.5207963230182201E-10</v>
      </c>
      <c r="AL136" s="62">
        <f>Table13[[#This Row],[cumulative debt until t]]*Table13[[#This Row],[Unconditional mortality NOW]]</f>
        <v>1.2129233713856927E-7</v>
      </c>
      <c r="AM136" s="47">
        <f>Table13[[#This Row],[probablistic premium stream]]/Table13[[#This Row],[lender discounter]]</f>
        <v>2.0778208098576757E-10</v>
      </c>
      <c r="AN136" s="58">
        <f>Table13[[#This Row],[probablistic repay from borrower]]/Table13[[#This Row],[lender discounter]]</f>
        <v>7.1581460289285824E-8</v>
      </c>
      <c r="AO136" s="47">
        <f>(Table13[[#This Row],[probablistic repay from borrower]]-Table13[[#This Row],[probablistic premium stream]])/Table13[[#This Row],[lender discounter]]</f>
        <v>7.137367820830005E-8</v>
      </c>
      <c r="AP136" s="46">
        <f>AP135*(1+$D$4)+ Table13[[#This Row],[level premium marked up]]</f>
        <v>0.17512074395430857</v>
      </c>
      <c r="AQ136" s="58">
        <f>AP136*Table13[[#This Row],[Unconditional mortality NOW]]</f>
        <v>8.7889859428551239E-10</v>
      </c>
      <c r="AR136" s="60">
        <f>Table13[[#This Row],[cumulative debt until t]]*Table13[[#This Row],[Unconditional mortality NOW]]</f>
        <v>1.2129233713856927E-7</v>
      </c>
      <c r="AS136" s="58">
        <f>Table13[[#This Row],[lender to pay cumulative probablistic undiscounted]]/Table13[[#This Row],[lender discounter]]</f>
        <v>5.186877119309141E-10</v>
      </c>
    </row>
    <row r="137" spans="1:45" s="3" customFormat="1">
      <c r="A137" s="3">
        <v>141</v>
      </c>
      <c r="B137" s="8">
        <v>3.2000000000000001E-2</v>
      </c>
      <c r="C137" s="3">
        <v>0</v>
      </c>
      <c r="D137" s="12">
        <v>3.2000000000000001E-2</v>
      </c>
      <c r="E137" s="66">
        <v>0.99999999989999999</v>
      </c>
      <c r="F137" s="13">
        <f>1-Table13[[#This Row],[one-year conditional mortality AT ISSUE]]</f>
        <v>1.000000082740371E-10</v>
      </c>
      <c r="G137" s="13">
        <f>PRODUCT(F$17:F137)</f>
        <v>1.0117513413653352E-221</v>
      </c>
      <c r="H137" s="13">
        <f>Table13[[#This Row],[one-year conditional survival AT ISSUE]]*(1-Table13[[#This Row],[Lapse rate]])</f>
        <v>9.6800008009267909E-11</v>
      </c>
      <c r="I137" s="13">
        <f>PRODUCT(H$17:H137)</f>
        <v>1.3421798732430215E-223</v>
      </c>
      <c r="J137" s="13">
        <f>G136*Table13[[#This Row],[one-year conditional mortality AT ISSUE]]</f>
        <v>1.0117512575514856E-211</v>
      </c>
      <c r="K137" s="10">
        <f>I136*Table13[[#This Row],[one-year conditional mortality AT ISSUE]]</f>
        <v>1.3865493409673059E-213</v>
      </c>
      <c r="L137" s="3">
        <f t="shared" si="1"/>
        <v>2.4615991981893799E-3</v>
      </c>
      <c r="M137" s="44">
        <f>Table13[[#This Row],[Death benefit pay probability]]/Table13[[#This Row],[unconditional persistency AT ISSUE]]</f>
        <v>10330577656.607809</v>
      </c>
      <c r="N137" s="44">
        <f>Table13[[#This Row],[one-year conditional mortality AT ISSUE]]/Table13[[#This Row],[one-year conditional persistency AT ISSUE]]</f>
        <v>10330577656.607809</v>
      </c>
      <c r="O137" s="4">
        <f>(1+$B$14)^(Table13[[#This Row],[age since issue]]-$A$17)</f>
        <v>62.064316240610651</v>
      </c>
      <c r="P137" s="5">
        <f>(Table13[[#This Row],[level premium unmarked-up]]*Table13[[#This Row],[unconditional persistency AT ISSUE]]-Table13[[#This Row],[Death benefit pay probability]])</f>
        <v>-1.3865493409669754E-213</v>
      </c>
      <c r="Q137" s="4">
        <f>Table13[[#This Row],[Issuer profit with unmarked-up level premium]]/Table13[[#This Row],[Issuer discounter at issue]]</f>
        <v>-2.2340523910577012E-215</v>
      </c>
      <c r="R137" s="4">
        <f>(Table13[[#This Row],[variable premium unmarked up]]*Table13[[#This Row],[unconditional persistency AT ISSUE]]-Table13[[#This Row],[Death benefit pay probability]])</f>
        <v>1.6489340850168661E-229</v>
      </c>
      <c r="S137" s="6">
        <f>Table13[[#This Row],[level premium unmarked-up]]*(1+$B$15)</f>
        <v>2.4615991981893799E-3</v>
      </c>
      <c r="T137" s="6">
        <f>MIN(Table13[[#This Row],[variable premium unmarked up]]*(1+$B$15),1)</f>
        <v>1</v>
      </c>
      <c r="U137" s="6">
        <f>Table13[[#This Row],[level premium marked up]]-Table13[[#This Row],[variable premium marked up]]</f>
        <v>-0.99753840080181067</v>
      </c>
      <c r="V137" s="6">
        <f>Table13[[#This Row],[additional cash]]+V136*(1+$D$2)</f>
        <v>-44.419352581265187</v>
      </c>
      <c r="W137" s="12">
        <v>3.8260000000000002E-2</v>
      </c>
      <c r="X137" s="13">
        <f>1-Table13[[#This Row],[one-year conditional mortality NOW]]</f>
        <v>0.96174000000000004</v>
      </c>
      <c r="Y137" s="49">
        <f>PRODUCT(X$17:X137)</f>
        <v>1.3755653878138121E-7</v>
      </c>
      <c r="Z137" s="13">
        <f>Table13[[#This Row],[one-year conditional survival NOW]]*(1-Table13[[#This Row],[Lapse rate]])</f>
        <v>0.93096431999999996</v>
      </c>
      <c r="AA137" s="13">
        <f>PRODUCT(Z$17:Z137)</f>
        <v>2.3754753827947032E-8</v>
      </c>
      <c r="AB137" s="50">
        <f>Y136*Table13[[#This Row],[one-year conditional mortality NOW]]</f>
        <v>5.472282710270598E-9</v>
      </c>
      <c r="AC137" s="14">
        <v>1.9699999999999999E-2</v>
      </c>
      <c r="AD137" s="28">
        <f>(1+Table13[[#This Row],[Yield curve now]])^(Table13[[#This Row],[age since issue]]-$B$11)</f>
        <v>2.8675476437159824</v>
      </c>
      <c r="AE137" s="46">
        <f t="shared" si="3"/>
        <v>27.644553860651005</v>
      </c>
      <c r="AF137" s="42">
        <f>1-Table13[[#This Row],[cumulative debt until t]]</f>
        <v>-26.644553860651005</v>
      </c>
      <c r="AG137" s="46">
        <f>Table13[[#This Row],[cumulative debt until t]]*Table13[[#This Row],[Unconditional mortality NOW]]/Table13[[#This Row],[discouter with yield curve]]</f>
        <v>5.2755466663753991E-8</v>
      </c>
      <c r="AH137" s="48">
        <f>Table13[[#This Row],[Unconditional mortality NOW]]/Table13[[#This Row],[discouter with yield curve]]</f>
        <v>1.9083493598659814E-9</v>
      </c>
      <c r="AI137" s="29">
        <f>Table13[[#This Row],[user profit (death benefit - debt)]]*Table13[[#This Row],[Unconditional mortality NOW]]/Table13[[#This Row],[discouter with yield curve]]</f>
        <v>-5.0847117303888005E-8</v>
      </c>
      <c r="AJ137" s="29">
        <f>(1+$D$4)^(Table13[[#This Row],[age since issue]]-$B$11)</f>
        <v>1.7114104687843503</v>
      </c>
      <c r="AK137" s="57">
        <f>Table13[[#This Row],[level premium marked up]]*Table13[[#This Row],[unconditional survival NOW]]</f>
        <v>3.3860906556995433E-10</v>
      </c>
      <c r="AL137" s="62">
        <f>Table13[[#This Row],[cumulative debt until t]]*Table13[[#This Row],[Unconditional mortality NOW]]</f>
        <v>1.5127881412478482E-7</v>
      </c>
      <c r="AM137" s="47">
        <f>Table13[[#This Row],[probablistic premium stream]]/Table13[[#This Row],[lender discounter]]</f>
        <v>1.9785380056163572E-10</v>
      </c>
      <c r="AN137" s="58">
        <f>Table13[[#This Row],[probablistic repay from borrower]]/Table13[[#This Row],[lender discounter]]</f>
        <v>8.8394232058333291E-8</v>
      </c>
      <c r="AO137" s="47">
        <f>(Table13[[#This Row],[probablistic repay from borrower]]-Table13[[#This Row],[probablistic premium stream]])/Table13[[#This Row],[lender discounter]]</f>
        <v>8.8196378257771646E-8</v>
      </c>
      <c r="AP137" s="46">
        <f>AP136*(1+$D$4)+ Table13[[#This Row],[level premium marked up]]</f>
        <v>0.17933355059204106</v>
      </c>
      <c r="AQ137" s="58">
        <f>AP137*Table13[[#This Row],[Unconditional mortality NOW]]</f>
        <v>9.8136388827626393E-10</v>
      </c>
      <c r="AR137" s="60">
        <f>Table13[[#This Row],[cumulative debt until t]]*Table13[[#This Row],[Unconditional mortality NOW]]</f>
        <v>1.5127881412478482E-7</v>
      </c>
      <c r="AS137" s="58">
        <f>Table13[[#This Row],[lender to pay cumulative probablistic undiscounted]]/Table13[[#This Row],[lender discounter]]</f>
        <v>5.7342403016463183E-10</v>
      </c>
    </row>
    <row r="138" spans="1:45" s="3" customFormat="1">
      <c r="A138" s="3">
        <v>142</v>
      </c>
      <c r="B138" s="8">
        <v>3.2000000000000001E-2</v>
      </c>
      <c r="C138" s="3">
        <v>0</v>
      </c>
      <c r="D138" s="12">
        <v>3.2000000000000001E-2</v>
      </c>
      <c r="E138" s="66">
        <v>0.99999999989999999</v>
      </c>
      <c r="F138" s="13">
        <f>1-Table13[[#This Row],[one-year conditional mortality AT ISSUE]]</f>
        <v>1.000000082740371E-10</v>
      </c>
      <c r="G138" s="13">
        <f>PRODUCT(F$17:F138)</f>
        <v>1.0117514250780165E-231</v>
      </c>
      <c r="H138" s="13">
        <f>Table13[[#This Row],[one-year conditional survival AT ISSUE]]*(1-Table13[[#This Row],[Lapse rate]])</f>
        <v>9.6800008009267909E-11</v>
      </c>
      <c r="I138" s="13">
        <f>PRODUCT(H$17:H138)</f>
        <v>1.2992302247980267E-233</v>
      </c>
      <c r="J138" s="13">
        <f>G137*Table13[[#This Row],[one-year conditional mortality AT ISSUE]]</f>
        <v>1.01175134126416E-221</v>
      </c>
      <c r="K138" s="10">
        <f>I137*Table13[[#This Row],[one-year conditional mortality AT ISSUE]]</f>
        <v>1.3421798731088036E-223</v>
      </c>
      <c r="L138" s="3">
        <f t="shared" si="1"/>
        <v>2.4615991981893799E-3</v>
      </c>
      <c r="M138" s="44">
        <f>Table13[[#This Row],[Death benefit pay probability]]/Table13[[#This Row],[unconditional persistency AT ISSUE]]</f>
        <v>10330577656.607809</v>
      </c>
      <c r="N138" s="44">
        <f>Table13[[#This Row],[one-year conditional mortality AT ISSUE]]/Table13[[#This Row],[one-year conditional persistency AT ISSUE]]</f>
        <v>10330577656.607809</v>
      </c>
      <c r="O138" s="4">
        <f>(1+$B$14)^(Table13[[#This Row],[age since issue]]-$A$17)</f>
        <v>64.236567309032026</v>
      </c>
      <c r="P138" s="5">
        <f>(Table13[[#This Row],[level premium unmarked-up]]*Table13[[#This Row],[unconditional persistency AT ISSUE]]-Table13[[#This Row],[Death benefit pay probability]])</f>
        <v>-1.3421798731084838E-223</v>
      </c>
      <c r="Q138" s="4">
        <f>Table13[[#This Row],[Issuer profit with unmarked-up level premium]]/Table13[[#This Row],[Issuer discounter at issue]]</f>
        <v>-2.0894327473189335E-225</v>
      </c>
      <c r="R138" s="4">
        <f>(Table13[[#This Row],[variable premium unmarked up]]*Table13[[#This Row],[unconditional persistency AT ISSUE]]-Table13[[#This Row],[Death benefit pay probability]])</f>
        <v>0</v>
      </c>
      <c r="S138" s="6">
        <f>Table13[[#This Row],[level premium unmarked-up]]*(1+$B$15)</f>
        <v>2.4615991981893799E-3</v>
      </c>
      <c r="T138" s="6">
        <f>MIN(Table13[[#This Row],[variable premium unmarked up]]*(1+$B$15),1)</f>
        <v>1</v>
      </c>
      <c r="U138" s="6">
        <f>Table13[[#This Row],[level premium marked up]]-Table13[[#This Row],[variable premium marked up]]</f>
        <v>-0.99753840080181067</v>
      </c>
      <c r="V138" s="6">
        <f>Table13[[#This Row],[additional cash]]+V137*(1+$D$2)</f>
        <v>-45.461310334648253</v>
      </c>
      <c r="W138" s="12">
        <v>4.3360000000000003E-2</v>
      </c>
      <c r="X138" s="13">
        <f>1-Table13[[#This Row],[one-year conditional mortality NOW]]</f>
        <v>0.95664000000000005</v>
      </c>
      <c r="Y138" s="49">
        <f>PRODUCT(X$17:X138)</f>
        <v>1.3159208725982053E-7</v>
      </c>
      <c r="Z138" s="13">
        <f>Table13[[#This Row],[one-year conditional survival NOW]]*(1-Table13[[#This Row],[Lapse rate]])</f>
        <v>0.92602751999999999</v>
      </c>
      <c r="AA138" s="13">
        <f>PRODUCT(Z$17:Z138)</f>
        <v>2.1997555775504297E-8</v>
      </c>
      <c r="AB138" s="50">
        <f>Y137*Table13[[#This Row],[one-year conditional mortality NOW]]</f>
        <v>5.9644515215606898E-9</v>
      </c>
      <c r="AC138" s="14">
        <v>1.9699999999999999E-2</v>
      </c>
      <c r="AD138" s="28">
        <f>(1+Table13[[#This Row],[Yield curve now]])^(Table13[[#This Row],[age since issue]]-$B$11)</f>
        <v>2.9240383322971875</v>
      </c>
      <c r="AE138" s="46">
        <f t="shared" si="3"/>
        <v>31.621423722042074</v>
      </c>
      <c r="AF138" s="42">
        <f>1-Table13[[#This Row],[cumulative debt until t]]</f>
        <v>-30.621423722042074</v>
      </c>
      <c r="AG138" s="46">
        <f>Table13[[#This Row],[cumulative debt until t]]*Table13[[#This Row],[Unconditional mortality NOW]]/Table13[[#This Row],[discouter with yield curve]]</f>
        <v>6.4501359899983738E-8</v>
      </c>
      <c r="AH138" s="48">
        <f>Table13[[#This Row],[Unconditional mortality NOW]]/Table13[[#This Row],[discouter with yield curve]]</f>
        <v>2.0397993609320737E-9</v>
      </c>
      <c r="AI138" s="29">
        <f>Table13[[#This Row],[user profit (death benefit - debt)]]*Table13[[#This Row],[Unconditional mortality NOW]]/Table13[[#This Row],[discouter with yield curve]]</f>
        <v>-6.2461560539051674E-8</v>
      </c>
      <c r="AJ138" s="29">
        <f>(1+$D$4)^(Table13[[#This Row],[age since issue]]-$B$11)</f>
        <v>1.7285245734721935</v>
      </c>
      <c r="AK138" s="57">
        <f>Table13[[#This Row],[level premium marked up]]*Table13[[#This Row],[unconditional survival NOW]]</f>
        <v>3.2392697648684113E-10</v>
      </c>
      <c r="AL138" s="62">
        <f>Table13[[#This Row],[cumulative debt until t]]*Table13[[#This Row],[Unconditional mortality NOW]]</f>
        <v>1.8860444883284914E-7</v>
      </c>
      <c r="AM138" s="47">
        <f>Table13[[#This Row],[probablistic premium stream]]/Table13[[#This Row],[lender discounter]]</f>
        <v>1.8740085125671607E-10</v>
      </c>
      <c r="AN138" s="58">
        <f>Table13[[#This Row],[probablistic repay from borrower]]/Table13[[#This Row],[lender discounter]]</f>
        <v>1.0911296936553687E-7</v>
      </c>
      <c r="AO138" s="47">
        <f>(Table13[[#This Row],[probablistic repay from borrower]]-Table13[[#This Row],[probablistic premium stream]])/Table13[[#This Row],[lender discounter]]</f>
        <v>1.0892556851428016E-7</v>
      </c>
      <c r="AP138" s="46">
        <f>AP137*(1+$D$4)+ Table13[[#This Row],[level premium marked up]]</f>
        <v>0.18358848529615088</v>
      </c>
      <c r="AQ138" s="58">
        <f>AP138*Table13[[#This Row],[Unconditional mortality NOW]]</f>
        <v>1.0950046204656495E-9</v>
      </c>
      <c r="AR138" s="60">
        <f>Table13[[#This Row],[cumulative debt until t]]*Table13[[#This Row],[Unconditional mortality NOW]]</f>
        <v>1.8860444883284914E-7</v>
      </c>
      <c r="AS138" s="58">
        <f>Table13[[#This Row],[lender to pay cumulative probablistic undiscounted]]/Table13[[#This Row],[lender discounter]]</f>
        <v>6.3349091894368996E-10</v>
      </c>
    </row>
    <row r="139" spans="1:45" s="3" customFormat="1">
      <c r="A139" s="3">
        <v>143</v>
      </c>
      <c r="B139" s="8">
        <v>3.2000000000000001E-2</v>
      </c>
      <c r="C139" s="3">
        <v>0</v>
      </c>
      <c r="D139" s="12">
        <v>3.2000000000000001E-2</v>
      </c>
      <c r="E139" s="66">
        <v>0.99999999989999999</v>
      </c>
      <c r="F139" s="13">
        <f>1-Table13[[#This Row],[one-year conditional mortality AT ISSUE]]</f>
        <v>1.000000082740371E-10</v>
      </c>
      <c r="G139" s="13">
        <f>PRODUCT(F$17:F139)</f>
        <v>1.0117515087907047E-241</v>
      </c>
      <c r="H139" s="13">
        <f>Table13[[#This Row],[one-year conditional survival AT ISSUE]]*(1-Table13[[#This Row],[Lapse rate]])</f>
        <v>9.6800008009267909E-11</v>
      </c>
      <c r="I139" s="13">
        <f>PRODUCT(H$17:H139)</f>
        <v>1.2576549616633193E-243</v>
      </c>
      <c r="J139" s="13">
        <f>G138*Table13[[#This Row],[one-year conditional mortality AT ISSUE]]</f>
        <v>1.0117514249768413E-231</v>
      </c>
      <c r="K139" s="10">
        <f>I138*Table13[[#This Row],[one-year conditional mortality AT ISSUE]]</f>
        <v>1.2992302246681038E-233</v>
      </c>
      <c r="L139" s="3">
        <f t="shared" si="1"/>
        <v>2.4615991981893799E-3</v>
      </c>
      <c r="M139" s="44">
        <f>Table13[[#This Row],[Death benefit pay probability]]/Table13[[#This Row],[unconditional persistency AT ISSUE]]</f>
        <v>10330577656.607809</v>
      </c>
      <c r="N139" s="44">
        <f>Table13[[#This Row],[one-year conditional mortality AT ISSUE]]/Table13[[#This Row],[one-year conditional persistency AT ISSUE]]</f>
        <v>10330577656.607809</v>
      </c>
      <c r="O139" s="4">
        <f>(1+$B$14)^(Table13[[#This Row],[age since issue]]-$A$17)</f>
        <v>66.484847164848148</v>
      </c>
      <c r="P139" s="5">
        <f>(Table13[[#This Row],[level premium unmarked-up]]*Table13[[#This Row],[unconditional persistency AT ISSUE]]-Table13[[#This Row],[Death benefit pay probability]])</f>
        <v>-1.2992302246677942E-233</v>
      </c>
      <c r="Q139" s="4">
        <f>Table13[[#This Row],[Issuer profit with unmarked-up level premium]]/Table13[[#This Row],[Issuer discounter at issue]]</f>
        <v>-1.9541749437226997E-235</v>
      </c>
      <c r="R139" s="4">
        <f>(Table13[[#This Row],[variable premium unmarked up]]*Table13[[#This Row],[unconditional persistency AT ISSUE]]-Table13[[#This Row],[Death benefit pay probability]])</f>
        <v>0</v>
      </c>
      <c r="S139" s="6">
        <f>Table13[[#This Row],[level premium unmarked-up]]*(1+$B$15)</f>
        <v>2.4615991981893799E-3</v>
      </c>
      <c r="T139" s="6">
        <f>MIN(Table13[[#This Row],[variable premium unmarked up]]*(1+$B$15),1)</f>
        <v>1</v>
      </c>
      <c r="U139" s="6">
        <f>Table13[[#This Row],[level premium marked up]]-Table13[[#This Row],[variable premium marked up]]</f>
        <v>-0.99753840080181067</v>
      </c>
      <c r="V139" s="6">
        <f>Table13[[#This Row],[additional cash]]+V138*(1+$D$2)</f>
        <v>-46.504310045784706</v>
      </c>
      <c r="W139" s="12">
        <v>4.9070000000000003E-2</v>
      </c>
      <c r="X139" s="13">
        <f>1-Table13[[#This Row],[one-year conditional mortality NOW]]</f>
        <v>0.95093000000000005</v>
      </c>
      <c r="Y139" s="49">
        <f>PRODUCT(X$17:X139)</f>
        <v>1.2513486353798114E-7</v>
      </c>
      <c r="Z139" s="13">
        <f>Table13[[#This Row],[one-year conditional survival NOW]]*(1-Table13[[#This Row],[Lapse rate]])</f>
        <v>0.92050023999999997</v>
      </c>
      <c r="AA139" s="13">
        <f>PRODUCT(Z$17:Z139)</f>
        <v>2.0248755370765091E-8</v>
      </c>
      <c r="AB139" s="50">
        <f>Y138*Table13[[#This Row],[one-year conditional mortality NOW]]</f>
        <v>6.4572237218393934E-9</v>
      </c>
      <c r="AC139" s="14">
        <v>1.9699999999999999E-2</v>
      </c>
      <c r="AD139" s="28">
        <f>(1+Table13[[#This Row],[Yield curve now]])^(Table13[[#This Row],[age since issue]]-$B$11)</f>
        <v>2.9816418874434425</v>
      </c>
      <c r="AE139" s="46">
        <f t="shared" si="3"/>
        <v>36.169990172445893</v>
      </c>
      <c r="AF139" s="42">
        <f>1-Table13[[#This Row],[cumulative debt until t]]</f>
        <v>-35.169990172445893</v>
      </c>
      <c r="AG139" s="46">
        <f>Table13[[#This Row],[cumulative debt until t]]*Table13[[#This Row],[Unconditional mortality NOW]]/Table13[[#This Row],[discouter with yield curve]]</f>
        <v>7.833191489017998E-8</v>
      </c>
      <c r="AH139" s="48">
        <f>Table13[[#This Row],[Unconditional mortality NOW]]/Table13[[#This Row],[discouter with yield curve]]</f>
        <v>2.1656603863235999E-9</v>
      </c>
      <c r="AI139" s="29">
        <f>Table13[[#This Row],[user profit (death benefit - debt)]]*Table13[[#This Row],[Unconditional mortality NOW]]/Table13[[#This Row],[discouter with yield curve]]</f>
        <v>-7.6166254503856387E-8</v>
      </c>
      <c r="AJ139" s="29">
        <f>(1+$D$4)^(Table13[[#This Row],[age since issue]]-$B$11)</f>
        <v>1.7458098192069158</v>
      </c>
      <c r="AK139" s="57">
        <f>Table13[[#This Row],[level premium marked up]]*Table13[[#This Row],[unconditional survival NOW]]</f>
        <v>3.0803187975063185E-10</v>
      </c>
      <c r="AL139" s="62">
        <f>Table13[[#This Row],[cumulative debt until t]]*Table13[[#This Row],[Unconditional mortality NOW]]</f>
        <v>2.3355771856021535E-7</v>
      </c>
      <c r="AM139" s="47">
        <f>Table13[[#This Row],[probablistic premium stream]]/Table13[[#This Row],[lender discounter]]</f>
        <v>1.7644068463915741E-10</v>
      </c>
      <c r="AN139" s="58">
        <f>Table13[[#This Row],[probablistic repay from borrower]]/Table13[[#This Row],[lender discounter]]</f>
        <v>1.3378187932653261E-7</v>
      </c>
      <c r="AO139" s="47">
        <f>(Table13[[#This Row],[probablistic repay from borrower]]-Table13[[#This Row],[probablistic premium stream]])/Table13[[#This Row],[lender discounter]]</f>
        <v>1.3360543864189346E-7</v>
      </c>
      <c r="AP139" s="46">
        <f>AP138*(1+$D$4)+ Table13[[#This Row],[level premium marked up]]</f>
        <v>0.18788596934730178</v>
      </c>
      <c r="AQ139" s="58">
        <f>AP139*Table13[[#This Row],[Unconditional mortality NOW]]</f>
        <v>1.2132217382701862E-9</v>
      </c>
      <c r="AR139" s="60">
        <f>Table13[[#This Row],[cumulative debt until t]]*Table13[[#This Row],[Unconditional mortality NOW]]</f>
        <v>2.3355771856021535E-7</v>
      </c>
      <c r="AS139" s="58">
        <f>Table13[[#This Row],[lender to pay cumulative probablistic undiscounted]]/Table13[[#This Row],[lender discounter]]</f>
        <v>6.9493350588515253E-10</v>
      </c>
    </row>
    <row r="140" spans="1:45" s="3" customFormat="1">
      <c r="A140" s="3">
        <v>144</v>
      </c>
      <c r="B140" s="8">
        <v>3.2000000000000001E-2</v>
      </c>
      <c r="C140" s="3">
        <v>0</v>
      </c>
      <c r="D140" s="12">
        <v>3.2000000000000001E-2</v>
      </c>
      <c r="E140" s="66">
        <v>0.99999999989999999</v>
      </c>
      <c r="F140" s="13">
        <f>1-Table13[[#This Row],[one-year conditional mortality AT ISSUE]]</f>
        <v>1.000000082740371E-10</v>
      </c>
      <c r="G140" s="13">
        <f>PRODUCT(F$17:F140)</f>
        <v>1.0117515925034E-251</v>
      </c>
      <c r="H140" s="13">
        <f>Table13[[#This Row],[one-year conditional survival AT ISSUE]]*(1-Table13[[#This Row],[Lapse rate]])</f>
        <v>9.6800008009267909E-11</v>
      </c>
      <c r="I140" s="13">
        <f>PRODUCT(H$17:H140)</f>
        <v>1.2174101036190484E-253</v>
      </c>
      <c r="J140" s="13">
        <f>G139*Table13[[#This Row],[one-year conditional mortality AT ISSUE]]</f>
        <v>1.0117515086895297E-241</v>
      </c>
      <c r="K140" s="10">
        <f>I139*Table13[[#This Row],[one-year conditional mortality AT ISSUE]]</f>
        <v>1.2576549615375537E-243</v>
      </c>
      <c r="L140" s="3">
        <f t="shared" si="1"/>
        <v>2.4615991981893799E-3</v>
      </c>
      <c r="M140" s="44">
        <f>Table13[[#This Row],[Death benefit pay probability]]/Table13[[#This Row],[unconditional persistency AT ISSUE]]</f>
        <v>10330577656.607807</v>
      </c>
      <c r="N140" s="44">
        <f>Table13[[#This Row],[one-year conditional mortality AT ISSUE]]/Table13[[#This Row],[one-year conditional persistency AT ISSUE]]</f>
        <v>10330577656.607809</v>
      </c>
      <c r="O140" s="4">
        <f>(1+$B$14)^(Table13[[#This Row],[age since issue]]-$A$17)</f>
        <v>68.811816815617831</v>
      </c>
      <c r="P140" s="5">
        <f>(Table13[[#This Row],[level premium unmarked-up]]*Table13[[#This Row],[unconditional persistency AT ISSUE]]-Table13[[#This Row],[Death benefit pay probability]])</f>
        <v>-1.257654961537254E-243</v>
      </c>
      <c r="Q140" s="4">
        <f>Table13[[#This Row],[Issuer profit with unmarked-up level premium]]/Table13[[#This Row],[Issuer discounter at issue]]</f>
        <v>-1.8276729488296421E-245</v>
      </c>
      <c r="R140" s="4">
        <f>(Table13[[#This Row],[variable premium unmarked up]]*Table13[[#This Row],[unconditional persistency AT ISSUE]]-Table13[[#This Row],[Death benefit pay probability]])</f>
        <v>0</v>
      </c>
      <c r="S140" s="6">
        <f>Table13[[#This Row],[level premium unmarked-up]]*(1+$B$15)</f>
        <v>2.4615991981893799E-3</v>
      </c>
      <c r="T140" s="6">
        <f>MIN(Table13[[#This Row],[variable premium unmarked up]]*(1+$B$15),1)</f>
        <v>1</v>
      </c>
      <c r="U140" s="6">
        <f>Table13[[#This Row],[level premium marked up]]-Table13[[#This Row],[variable premium marked up]]</f>
        <v>-0.99753840080181067</v>
      </c>
      <c r="V140" s="6">
        <f>Table13[[#This Row],[additional cash]]+V139*(1+$D$2)</f>
        <v>-47.548352756632291</v>
      </c>
      <c r="W140" s="12">
        <v>5.5629999999999999E-2</v>
      </c>
      <c r="X140" s="13">
        <f>1-Table13[[#This Row],[one-year conditional mortality NOW]]</f>
        <v>0.94437000000000004</v>
      </c>
      <c r="Y140" s="49">
        <f>PRODUCT(X$17:X140)</f>
        <v>1.1817361107936326E-7</v>
      </c>
      <c r="Z140" s="13">
        <f>Table13[[#This Row],[one-year conditional survival NOW]]*(1-Table13[[#This Row],[Lapse rate]])</f>
        <v>0.91415016000000004</v>
      </c>
      <c r="AA140" s="13">
        <f>PRODUCT(Z$17:Z140)</f>
        <v>1.8510402961985768E-8</v>
      </c>
      <c r="AB140" s="50">
        <f>Y139*Table13[[#This Row],[one-year conditional mortality NOW]]</f>
        <v>6.9612524586178907E-9</v>
      </c>
      <c r="AC140" s="14">
        <v>1.9699999999999999E-2</v>
      </c>
      <c r="AD140" s="28">
        <f>(1+Table13[[#This Row],[Yield curve now]])^(Table13[[#This Row],[age since issue]]-$B$11)</f>
        <v>3.0403802326260783</v>
      </c>
      <c r="AE140" s="46">
        <f t="shared" si="3"/>
        <v>41.372437693950218</v>
      </c>
      <c r="AF140" s="42">
        <f>1-Table13[[#This Row],[cumulative debt until t]]</f>
        <v>-40.372437693950218</v>
      </c>
      <c r="AG140" s="46">
        <f>Table13[[#This Row],[cumulative debt until t]]*Table13[[#This Row],[Unconditional mortality NOW]]/Table13[[#This Row],[discouter with yield curve]]</f>
        <v>9.4726304468591995E-8</v>
      </c>
      <c r="AH140" s="48">
        <f>Table13[[#This Row],[Unconditional mortality NOW]]/Table13[[#This Row],[discouter with yield curve]]</f>
        <v>2.2895993020600662E-9</v>
      </c>
      <c r="AI140" s="29">
        <f>Table13[[#This Row],[user profit (death benefit - debt)]]*Table13[[#This Row],[Unconditional mortality NOW]]/Table13[[#This Row],[discouter with yield curve]]</f>
        <v>-9.2436705166531929E-8</v>
      </c>
      <c r="AJ140" s="29">
        <f>(1+$D$4)^(Table13[[#This Row],[age since issue]]-$B$11)</f>
        <v>1.7632679173989851</v>
      </c>
      <c r="AK140" s="57">
        <f>Table13[[#This Row],[level premium marked up]]*Table13[[#This Row],[unconditional survival NOW]]</f>
        <v>2.9089606628010423E-10</v>
      </c>
      <c r="AL140" s="62">
        <f>Table13[[#This Row],[cumulative debt until t]]*Table13[[#This Row],[Unconditional mortality NOW]]</f>
        <v>2.8800398361602645E-7</v>
      </c>
      <c r="AM140" s="47">
        <f>Table13[[#This Row],[probablistic premium stream]]/Table13[[#This Row],[lender discounter]]</f>
        <v>1.6497553401255554E-10</v>
      </c>
      <c r="AN140" s="58">
        <f>Table13[[#This Row],[probablistic repay from borrower]]/Table13[[#This Row],[lender discounter]]</f>
        <v>1.633353506714193E-7</v>
      </c>
      <c r="AO140" s="47">
        <f>(Table13[[#This Row],[probablistic repay from borrower]]-Table13[[#This Row],[probablistic premium stream]])/Table13[[#This Row],[lender discounter]]</f>
        <v>1.6317037513740675E-7</v>
      </c>
      <c r="AP140" s="46">
        <f>AP139*(1+$D$4)+ Table13[[#This Row],[level premium marked up]]</f>
        <v>0.19222642823896419</v>
      </c>
      <c r="AQ140" s="58">
        <f>AP140*Table13[[#This Row],[Unconditional mortality NOW]]</f>
        <v>1.338136696189825E-9</v>
      </c>
      <c r="AR140" s="60">
        <f>Table13[[#This Row],[cumulative debt until t]]*Table13[[#This Row],[Unconditional mortality NOW]]</f>
        <v>2.8800398361602645E-7</v>
      </c>
      <c r="AS140" s="58">
        <f>Table13[[#This Row],[lender to pay cumulative probablistic undiscounted]]/Table13[[#This Row],[lender discounter]]</f>
        <v>7.5889584503058638E-10</v>
      </c>
    </row>
    <row r="141" spans="1:45" s="3" customFormat="1">
      <c r="A141" s="3">
        <v>145</v>
      </c>
      <c r="B141" s="8">
        <v>3.2000000000000001E-2</v>
      </c>
      <c r="C141" s="3">
        <v>0</v>
      </c>
      <c r="D141" s="12">
        <v>3.2000000000000001E-2</v>
      </c>
      <c r="E141" s="66">
        <v>0.99999999989999999</v>
      </c>
      <c r="F141" s="13">
        <f>1-Table13[[#This Row],[one-year conditional mortality AT ISSUE]]</f>
        <v>1.000000082740371E-10</v>
      </c>
      <c r="G141" s="13">
        <f>PRODUCT(F$17:F141)</f>
        <v>1.0117516762161021E-261</v>
      </c>
      <c r="H141" s="13">
        <f>Table13[[#This Row],[one-year conditional survival AT ISSUE]]*(1-Table13[[#This Row],[Lapse rate]])</f>
        <v>9.6800008009267909E-11</v>
      </c>
      <c r="I141" s="13">
        <f>PRODUCT(H$17:H141)</f>
        <v>1.1784530778088755E-263</v>
      </c>
      <c r="J141" s="13">
        <f>G140*Table13[[#This Row],[one-year conditional mortality AT ISSUE]]</f>
        <v>1.0117515924022249E-251</v>
      </c>
      <c r="K141" s="10">
        <f>I140*Table13[[#This Row],[one-year conditional mortality AT ISSUE]]</f>
        <v>1.2174101034973073E-253</v>
      </c>
      <c r="L141" s="3">
        <f t="shared" si="1"/>
        <v>2.4615991981893799E-3</v>
      </c>
      <c r="M141" s="44">
        <f>Table13[[#This Row],[Death benefit pay probability]]/Table13[[#This Row],[unconditional persistency AT ISSUE]]</f>
        <v>10330577656.607809</v>
      </c>
      <c r="N141" s="44">
        <f>Table13[[#This Row],[one-year conditional mortality AT ISSUE]]/Table13[[#This Row],[one-year conditional persistency AT ISSUE]]</f>
        <v>10330577656.607809</v>
      </c>
      <c r="O141" s="4">
        <f>(1+$B$14)^(Table13[[#This Row],[age since issue]]-$A$17)</f>
        <v>71.220230404164454</v>
      </c>
      <c r="P141" s="5">
        <f>(Table13[[#This Row],[level premium unmarked-up]]*Table13[[#This Row],[unconditional persistency AT ISSUE]]-Table13[[#This Row],[Death benefit pay probability]])</f>
        <v>-1.2174101034970172E-253</v>
      </c>
      <c r="Q141" s="4">
        <f>Table13[[#This Row],[Issuer profit with unmarked-up level premium]]/Table13[[#This Row],[Issuer discounter at issue]]</f>
        <v>-1.709359962174219E-255</v>
      </c>
      <c r="R141" s="4">
        <f>(Table13[[#This Row],[variable premium unmarked up]]*Table13[[#This Row],[unconditional persistency AT ISSUE]]-Table13[[#This Row],[Death benefit pay probability]])</f>
        <v>0</v>
      </c>
      <c r="S141" s="6">
        <f>Table13[[#This Row],[level premium unmarked-up]]*(1+$B$15)</f>
        <v>2.4615991981893799E-3</v>
      </c>
      <c r="T141" s="6">
        <f>MIN(Table13[[#This Row],[variable premium unmarked up]]*(1+$B$15),1)</f>
        <v>1</v>
      </c>
      <c r="U141" s="6">
        <f>Table13[[#This Row],[level premium marked up]]-Table13[[#This Row],[variable premium marked up]]</f>
        <v>-0.99753840080181067</v>
      </c>
      <c r="V141" s="6">
        <f>Table13[[#This Row],[additional cash]]+V140*(1+$D$2)</f>
        <v>-48.593439510190727</v>
      </c>
      <c r="W141" s="12">
        <v>6.3219999999999998E-2</v>
      </c>
      <c r="X141" s="13">
        <f>1-Table13[[#This Row],[one-year conditional mortality NOW]]</f>
        <v>0.93677999999999995</v>
      </c>
      <c r="Y141" s="49">
        <f>PRODUCT(X$17:X141)</f>
        <v>1.107026753869259E-7</v>
      </c>
      <c r="Z141" s="13">
        <f>Table13[[#This Row],[one-year conditional survival NOW]]*(1-Table13[[#This Row],[Lapse rate]])</f>
        <v>0.90680303999999989</v>
      </c>
      <c r="AA141" s="13">
        <f>PRODUCT(Z$17:Z141)</f>
        <v>1.6785289677553696E-8</v>
      </c>
      <c r="AB141" s="50">
        <f>Y140*Table13[[#This Row],[one-year conditional mortality NOW]]</f>
        <v>7.4709356924373446E-9</v>
      </c>
      <c r="AC141" s="14">
        <v>1.9699999999999999E-2</v>
      </c>
      <c r="AD141" s="28">
        <f>(1+Table13[[#This Row],[Yield curve now]])^(Table13[[#This Row],[age since issue]]-$B$11)</f>
        <v>3.1002757232088118</v>
      </c>
      <c r="AE141" s="46">
        <f t="shared" si="3"/>
        <v>47.322765233213403</v>
      </c>
      <c r="AF141" s="42">
        <f>1-Table13[[#This Row],[cumulative debt until t]]</f>
        <v>-46.322765233213403</v>
      </c>
      <c r="AG141" s="46">
        <f>Table13[[#This Row],[cumulative debt until t]]*Table13[[#This Row],[Unconditional mortality NOW]]/Table13[[#This Row],[discouter with yield curve]]</f>
        <v>1.1403673976446347E-7</v>
      </c>
      <c r="AH141" s="48">
        <f>Table13[[#This Row],[Unconditional mortality NOW]]/Table13[[#This Row],[discouter with yield curve]]</f>
        <v>2.4097649239742014E-9</v>
      </c>
      <c r="AI141" s="29">
        <f>Table13[[#This Row],[user profit (death benefit - debt)]]*Table13[[#This Row],[Unconditional mortality NOW]]/Table13[[#This Row],[discouter with yield curve]]</f>
        <v>-1.1162697484048927E-7</v>
      </c>
      <c r="AJ141" s="29">
        <f>(1+$D$4)^(Table13[[#This Row],[age since issue]]-$B$11)</f>
        <v>1.7809005965729749</v>
      </c>
      <c r="AK141" s="57">
        <f>Table13[[#This Row],[level premium marked up]]*Table13[[#This Row],[unconditional survival NOW]]</f>
        <v>2.7250561696987602E-10</v>
      </c>
      <c r="AL141" s="62">
        <f>Table13[[#This Row],[cumulative debt until t]]*Table13[[#This Row],[Unconditional mortality NOW]]</f>
        <v>3.5354533584564705E-7</v>
      </c>
      <c r="AM141" s="47">
        <f>Table13[[#This Row],[probablistic premium stream]]/Table13[[#This Row],[lender discounter]]</f>
        <v>1.5301562450720966E-10</v>
      </c>
      <c r="AN141" s="58">
        <f>Table13[[#This Row],[probablistic repay from borrower]]/Table13[[#This Row],[lender discounter]]</f>
        <v>1.9852053310891235E-7</v>
      </c>
      <c r="AO141" s="47">
        <f>(Table13[[#This Row],[probablistic repay from borrower]]-Table13[[#This Row],[probablistic premium stream]])/Table13[[#This Row],[lender discounter]]</f>
        <v>1.9836751748440516E-7</v>
      </c>
      <c r="AP141" s="46">
        <f>AP140*(1+$D$4)+ Table13[[#This Row],[level premium marked up]]</f>
        <v>0.19661029171954322</v>
      </c>
      <c r="AQ141" s="58">
        <f>AP141*Table13[[#This Row],[Unconditional mortality NOW]]</f>
        <v>1.4688628459080541E-9</v>
      </c>
      <c r="AR141" s="60">
        <f>Table13[[#This Row],[cumulative debt until t]]*Table13[[#This Row],[Unconditional mortality NOW]]</f>
        <v>3.5354533584564705E-7</v>
      </c>
      <c r="AS141" s="58">
        <f>Table13[[#This Row],[lender to pay cumulative probablistic undiscounted]]/Table13[[#This Row],[lender discounter]]</f>
        <v>8.2478654268217904E-10</v>
      </c>
    </row>
    <row r="142" spans="1:45" s="3" customFormat="1">
      <c r="A142" s="3">
        <v>146</v>
      </c>
      <c r="B142" s="8">
        <v>3.2000000000000001E-2</v>
      </c>
      <c r="C142" s="3">
        <v>0</v>
      </c>
      <c r="D142" s="12">
        <v>3.2000000000000001E-2</v>
      </c>
      <c r="E142" s="66">
        <v>0.99999999989999999</v>
      </c>
      <c r="F142" s="13">
        <f>1-Table13[[#This Row],[one-year conditional mortality AT ISSUE]]</f>
        <v>1.000000082740371E-10</v>
      </c>
      <c r="G142" s="13">
        <f>PRODUCT(F$17:F142)</f>
        <v>1.0117517599288111E-271</v>
      </c>
      <c r="H142" s="13">
        <f>Table13[[#This Row],[one-year conditional survival AT ISSUE]]*(1-Table13[[#This Row],[Lapse rate]])</f>
        <v>9.6800008009267909E-11</v>
      </c>
      <c r="I142" s="13">
        <f>PRODUCT(H$17:H142)</f>
        <v>1.1407426737044558E-273</v>
      </c>
      <c r="J142" s="13">
        <f>G141*Table13[[#This Row],[one-year conditional mortality AT ISSUE]]</f>
        <v>1.0117516761149269E-261</v>
      </c>
      <c r="K142" s="10">
        <f>I141*Table13[[#This Row],[one-year conditional mortality AT ISSUE]]</f>
        <v>1.1784530776910302E-263</v>
      </c>
      <c r="L142" s="3">
        <f t="shared" si="1"/>
        <v>2.4615991981893799E-3</v>
      </c>
      <c r="M142" s="44">
        <f>Table13[[#This Row],[Death benefit pay probability]]/Table13[[#This Row],[unconditional persistency AT ISSUE]]</f>
        <v>10330577656.607807</v>
      </c>
      <c r="N142" s="44">
        <f>Table13[[#This Row],[one-year conditional mortality AT ISSUE]]/Table13[[#This Row],[one-year conditional persistency AT ISSUE]]</f>
        <v>10330577656.607809</v>
      </c>
      <c r="O142" s="4">
        <f>(1+$B$14)^(Table13[[#This Row],[age since issue]]-$A$17)</f>
        <v>73.712938468310185</v>
      </c>
      <c r="P142" s="5">
        <f>(Table13[[#This Row],[level premium unmarked-up]]*Table13[[#This Row],[unconditional persistency AT ISSUE]]-Table13[[#This Row],[Death benefit pay probability]])</f>
        <v>-1.1784530776907493E-263</v>
      </c>
      <c r="Q142" s="4">
        <f>Table13[[#This Row],[Issuer profit with unmarked-up level premium]]/Table13[[#This Row],[Issuer discounter at issue]]</f>
        <v>-1.5987058746781291E-265</v>
      </c>
      <c r="R142" s="4">
        <f>(Table13[[#This Row],[variable premium unmarked up]]*Table13[[#This Row],[unconditional persistency AT ISSUE]]-Table13[[#This Row],[Death benefit pay probability]])</f>
        <v>0</v>
      </c>
      <c r="S142" s="6">
        <f>Table13[[#This Row],[level premium unmarked-up]]*(1+$B$15)</f>
        <v>2.4615991981893799E-3</v>
      </c>
      <c r="T142" s="6">
        <f>MIN(Table13[[#This Row],[variable premium unmarked up]]*(1+$B$15),1)</f>
        <v>1</v>
      </c>
      <c r="U142" s="6">
        <f>Table13[[#This Row],[level premium marked up]]-Table13[[#This Row],[variable premium marked up]]</f>
        <v>-0.99753840080181067</v>
      </c>
      <c r="V142" s="6">
        <f>Table13[[#This Row],[additional cash]]+V141*(1+$D$2)</f>
        <v>-49.63957135050272</v>
      </c>
      <c r="W142" s="12">
        <v>7.2040000000000007E-2</v>
      </c>
      <c r="X142" s="13">
        <f>1-Table13[[#This Row],[one-year conditional mortality NOW]]</f>
        <v>0.92796000000000001</v>
      </c>
      <c r="Y142" s="49">
        <f>PRODUCT(X$17:X142)</f>
        <v>1.0272765465205177E-7</v>
      </c>
      <c r="Z142" s="13">
        <f>Table13[[#This Row],[one-year conditional survival NOW]]*(1-Table13[[#This Row],[Lapse rate]])</f>
        <v>0.89826527999999994</v>
      </c>
      <c r="AA142" s="13">
        <f>PRODUCT(Z$17:Z142)</f>
        <v>1.5077642932088878E-8</v>
      </c>
      <c r="AB142" s="50">
        <f>Y141*Table13[[#This Row],[one-year conditional mortality NOW]]</f>
        <v>7.9750207348741433E-9</v>
      </c>
      <c r="AC142" s="14">
        <v>1.9699999999999999E-2</v>
      </c>
      <c r="AD142" s="28">
        <f>(1+Table13[[#This Row],[Yield curve now]])^(Table13[[#This Row],[age since issue]]-$B$11)</f>
        <v>3.161351154956026</v>
      </c>
      <c r="AE142" s="46">
        <f t="shared" si="3"/>
        <v>54.128484594756507</v>
      </c>
      <c r="AF142" s="42">
        <f>1-Table13[[#This Row],[cumulative debt until t]]</f>
        <v>-53.128484594756507</v>
      </c>
      <c r="AG142" s="46">
        <f>Table13[[#This Row],[cumulative debt until t]]*Table13[[#This Row],[Unconditional mortality NOW]]/Table13[[#This Row],[discouter with yield curve]]</f>
        <v>1.365478764716675E-7</v>
      </c>
      <c r="AH142" s="48">
        <f>Table13[[#This Row],[Unconditional mortality NOW]]/Table13[[#This Row],[discouter with yield curve]]</f>
        <v>2.5226620973034788E-9</v>
      </c>
      <c r="AI142" s="29">
        <f>Table13[[#This Row],[user profit (death benefit - debt)]]*Table13[[#This Row],[Unconditional mortality NOW]]/Table13[[#This Row],[discouter with yield curve]]</f>
        <v>-1.3402521437436402E-7</v>
      </c>
      <c r="AJ142" s="29">
        <f>(1+$D$4)^(Table13[[#This Row],[age since issue]]-$B$11)</f>
        <v>1.7987096025387042</v>
      </c>
      <c r="AK142" s="57">
        <f>Table13[[#This Row],[level premium marked up]]*Table13[[#This Row],[unconditional survival NOW]]</f>
        <v>2.5287431232336613E-10</v>
      </c>
      <c r="AL142" s="62">
        <f>Table13[[#This Row],[cumulative debt until t]]*Table13[[#This Row],[Unconditional mortality NOW]]</f>
        <v>4.3167578699049881E-7</v>
      </c>
      <c r="AM142" s="47">
        <f>Table13[[#This Row],[probablistic premium stream]]/Table13[[#This Row],[lender discounter]]</f>
        <v>1.4058651377991119E-10</v>
      </c>
      <c r="AN142" s="58">
        <f>Table13[[#This Row],[probablistic repay from borrower]]/Table13[[#This Row],[lender discounter]]</f>
        <v>2.3999192887013574E-7</v>
      </c>
      <c r="AO142" s="47">
        <f>(Table13[[#This Row],[probablistic repay from borrower]]-Table13[[#This Row],[probablistic premium stream]])/Table13[[#This Row],[lender discounter]]</f>
        <v>2.3985134235635583E-7</v>
      </c>
      <c r="AP142" s="46">
        <f>AP141*(1+$D$4)+ Table13[[#This Row],[level premium marked up]]</f>
        <v>0.20103799383492804</v>
      </c>
      <c r="AQ142" s="58">
        <f>AP142*Table13[[#This Row],[Unconditional mortality NOW]]</f>
        <v>1.6032821693310514E-9</v>
      </c>
      <c r="AR142" s="60">
        <f>Table13[[#This Row],[cumulative debt until t]]*Table13[[#This Row],[Unconditional mortality NOW]]</f>
        <v>4.3167578699049881E-7</v>
      </c>
      <c r="AS142" s="58">
        <f>Table13[[#This Row],[lender to pay cumulative probablistic undiscounted]]/Table13[[#This Row],[lender discounter]]</f>
        <v>8.9135131489161679E-10</v>
      </c>
    </row>
    <row r="143" spans="1:45" s="3" customFormat="1">
      <c r="A143" s="3">
        <v>147</v>
      </c>
      <c r="B143" s="8">
        <v>3.2000000000000001E-2</v>
      </c>
      <c r="C143" s="3">
        <v>0</v>
      </c>
      <c r="D143" s="12">
        <v>3.2000000000000001E-2</v>
      </c>
      <c r="E143" s="66">
        <v>0.99999999989999999</v>
      </c>
      <c r="F143" s="13">
        <f>1-Table13[[#This Row],[one-year conditional mortality AT ISSUE]]</f>
        <v>1.000000082740371E-10</v>
      </c>
      <c r="G143" s="13">
        <f>PRODUCT(F$17:F143)</f>
        <v>1.0117518436415271E-281</v>
      </c>
      <c r="H143" s="13">
        <f>Table13[[#This Row],[one-year conditional survival AT ISSUE]]*(1-Table13[[#This Row],[Lapse rate]])</f>
        <v>9.6800008009267909E-11</v>
      </c>
      <c r="I143" s="13">
        <f>PRODUCT(H$17:H143)</f>
        <v>1.1042389995110501E-283</v>
      </c>
      <c r="J143" s="13">
        <f>G142*Table13[[#This Row],[one-year conditional mortality AT ISSUE]]</f>
        <v>1.0117517598276359E-271</v>
      </c>
      <c r="K143" s="10">
        <f>I142*Table13[[#This Row],[one-year conditional mortality AT ISSUE]]</f>
        <v>1.1407426735903814E-273</v>
      </c>
      <c r="L143" s="3">
        <f t="shared" si="1"/>
        <v>2.4615991981893799E-3</v>
      </c>
      <c r="M143" s="44">
        <f>Table13[[#This Row],[Death benefit pay probability]]/Table13[[#This Row],[unconditional persistency AT ISSUE]]</f>
        <v>10330577656.607807</v>
      </c>
      <c r="N143" s="44">
        <f>Table13[[#This Row],[one-year conditional mortality AT ISSUE]]/Table13[[#This Row],[one-year conditional persistency AT ISSUE]]</f>
        <v>10330577656.607809</v>
      </c>
      <c r="O143" s="4">
        <f>(1+$B$14)^(Table13[[#This Row],[age since issue]]-$A$17)</f>
        <v>76.292891314701038</v>
      </c>
      <c r="P143" s="5">
        <f>(Table13[[#This Row],[level premium unmarked-up]]*Table13[[#This Row],[unconditional persistency AT ISSUE]]-Table13[[#This Row],[Death benefit pay probability]])</f>
        <v>-1.1407426735901097E-273</v>
      </c>
      <c r="Q143" s="4">
        <f>Table13[[#This Row],[Issuer profit with unmarked-up level premium]]/Table13[[#This Row],[Issuer discounter at issue]]</f>
        <v>-1.4952148934618992E-275</v>
      </c>
      <c r="R143" s="4">
        <f>(Table13[[#This Row],[variable premium unmarked up]]*Table13[[#This Row],[unconditional persistency AT ISSUE]]-Table13[[#This Row],[Death benefit pay probability]])</f>
        <v>0</v>
      </c>
      <c r="S143" s="6">
        <f>Table13[[#This Row],[level premium unmarked-up]]*(1+$B$15)</f>
        <v>2.4615991981893799E-3</v>
      </c>
      <c r="T143" s="6">
        <f>MIN(Table13[[#This Row],[variable premium unmarked up]]*(1+$B$15),1)</f>
        <v>1</v>
      </c>
      <c r="U143" s="6">
        <f>Table13[[#This Row],[level premium marked up]]-Table13[[#This Row],[variable premium marked up]]</f>
        <v>-0.99753840080181067</v>
      </c>
      <c r="V143" s="6">
        <f>Table13[[#This Row],[additional cash]]+V142*(1+$D$2)</f>
        <v>-50.686749322655025</v>
      </c>
      <c r="W143" s="12">
        <v>8.226E-2</v>
      </c>
      <c r="X143" s="13">
        <f>1-Table13[[#This Row],[one-year conditional mortality NOW]]</f>
        <v>0.91774</v>
      </c>
      <c r="Y143" s="49">
        <f>PRODUCT(X$17:X143)</f>
        <v>9.4277277780373986E-8</v>
      </c>
      <c r="Z143" s="13">
        <f>Table13[[#This Row],[one-year conditional survival NOW]]*(1-Table13[[#This Row],[Lapse rate]])</f>
        <v>0.88837231999999999</v>
      </c>
      <c r="AA143" s="13">
        <f>PRODUCT(Z$17:Z143)</f>
        <v>1.3394560631711399E-8</v>
      </c>
      <c r="AB143" s="50">
        <f>Y142*Table13[[#This Row],[one-year conditional mortality NOW]]</f>
        <v>8.4503768716777781E-9</v>
      </c>
      <c r="AC143" s="14">
        <v>1.9699999999999999E-2</v>
      </c>
      <c r="AD143" s="28">
        <f>(1+Table13[[#This Row],[Yield curve now]])^(Table13[[#This Row],[age since issue]]-$B$11)</f>
        <v>3.22362977270866</v>
      </c>
      <c r="AE143" s="46">
        <f t="shared" si="3"/>
        <v>61.912562987492869</v>
      </c>
      <c r="AF143" s="42">
        <f>1-Table13[[#This Row],[cumulative debt until t]]</f>
        <v>-60.912562987492869</v>
      </c>
      <c r="AG143" s="46">
        <f>Table13[[#This Row],[cumulative debt until t]]*Table13[[#This Row],[Unconditional mortality NOW]]/Table13[[#This Row],[discouter with yield curve]]</f>
        <v>1.6229670502645742E-7</v>
      </c>
      <c r="AH143" s="48">
        <f>Table13[[#This Row],[Unconditional mortality NOW]]/Table13[[#This Row],[discouter with yield curve]]</f>
        <v>2.6213856638311589E-9</v>
      </c>
      <c r="AI143" s="29">
        <f>Table13[[#This Row],[user profit (death benefit - debt)]]*Table13[[#This Row],[Unconditional mortality NOW]]/Table13[[#This Row],[discouter with yield curve]]</f>
        <v>-1.5967531936262624E-7</v>
      </c>
      <c r="AJ143" s="29">
        <f>(1+$D$4)^(Table13[[#This Row],[age since issue]]-$B$11)</f>
        <v>1.8166966985640913</v>
      </c>
      <c r="AK143" s="57">
        <f>Table13[[#This Row],[level premium marked up]]*Table13[[#This Row],[unconditional survival NOW]]</f>
        <v>2.3207287139164605E-10</v>
      </c>
      <c r="AL143" s="62">
        <f>Table13[[#This Row],[cumulative debt until t]]*Table13[[#This Row],[Unconditional mortality NOW]]</f>
        <v>5.2318449033580334E-7</v>
      </c>
      <c r="AM143" s="47">
        <f>Table13[[#This Row],[probablistic premium stream]]/Table13[[#This Row],[lender discounter]]</f>
        <v>1.2774442292710465E-10</v>
      </c>
      <c r="AN143" s="58">
        <f>Table13[[#This Row],[probablistic repay from borrower]]/Table13[[#This Row],[lender discounter]]</f>
        <v>2.879867017699355E-7</v>
      </c>
      <c r="AO143" s="47">
        <f>(Table13[[#This Row],[probablistic repay from borrower]]-Table13[[#This Row],[probablistic premium stream]])/Table13[[#This Row],[lender discounter]]</f>
        <v>2.8785895734700839E-7</v>
      </c>
      <c r="AP143" s="46">
        <f>AP142*(1+$D$4)+ Table13[[#This Row],[level premium marked up]]</f>
        <v>0.20550997297146673</v>
      </c>
      <c r="AQ143" s="58">
        <f>AP143*Table13[[#This Row],[Unconditional mortality NOW]]</f>
        <v>1.7366367224972078E-9</v>
      </c>
      <c r="AR143" s="60">
        <f>Table13[[#This Row],[cumulative debt until t]]*Table13[[#This Row],[Unconditional mortality NOW]]</f>
        <v>5.2318449033580334E-7</v>
      </c>
      <c r="AS143" s="58">
        <f>Table13[[#This Row],[lender to pay cumulative probablistic undiscounted]]/Table13[[#This Row],[lender discounter]]</f>
        <v>9.5593101692199768E-10</v>
      </c>
    </row>
    <row r="144" spans="1:45" s="3" customFormat="1">
      <c r="A144" s="3">
        <v>148</v>
      </c>
      <c r="B144" s="8">
        <v>3.2000000000000001E-2</v>
      </c>
      <c r="C144" s="3">
        <v>0</v>
      </c>
      <c r="D144" s="12">
        <v>3.2000000000000001E-2</v>
      </c>
      <c r="E144" s="66">
        <v>0.99999999989999999</v>
      </c>
      <c r="F144" s="13">
        <f>1-Table13[[#This Row],[one-year conditional mortality AT ISSUE]]</f>
        <v>1.000000082740371E-10</v>
      </c>
      <c r="G144" s="13">
        <f>PRODUCT(F$17:F144)</f>
        <v>1.01175192735425E-291</v>
      </c>
      <c r="H144" s="13">
        <f>Table13[[#This Row],[one-year conditional survival AT ISSUE]]*(1-Table13[[#This Row],[Lapse rate]])</f>
        <v>9.6800008009267909E-11</v>
      </c>
      <c r="I144" s="13">
        <f>PRODUCT(H$17:H144)</f>
        <v>1.0689034399681563E-293</v>
      </c>
      <c r="J144" s="13">
        <f>G143*Table13[[#This Row],[one-year conditional mortality AT ISSUE]]</f>
        <v>1.0117518435403518E-281</v>
      </c>
      <c r="K144" s="10">
        <f>I143*Table13[[#This Row],[one-year conditional mortality AT ISSUE]]</f>
        <v>1.1042389994006262E-283</v>
      </c>
      <c r="L144" s="3">
        <f t="shared" si="1"/>
        <v>2.4615991981893799E-3</v>
      </c>
      <c r="M144" s="44">
        <f>Table13[[#This Row],[Death benefit pay probability]]/Table13[[#This Row],[unconditional persistency AT ISSUE]]</f>
        <v>10330577656.607809</v>
      </c>
      <c r="N144" s="44">
        <f>Table13[[#This Row],[one-year conditional mortality AT ISSUE]]/Table13[[#This Row],[one-year conditional persistency AT ISSUE]]</f>
        <v>10330577656.607809</v>
      </c>
      <c r="O144" s="4">
        <f>(1+$B$14)^(Table13[[#This Row],[age since issue]]-$A$17)</f>
        <v>78.963142510715571</v>
      </c>
      <c r="P144" s="5">
        <f>(Table13[[#This Row],[level premium unmarked-up]]*Table13[[#This Row],[unconditional persistency AT ISSUE]]-Table13[[#This Row],[Death benefit pay probability]])</f>
        <v>-1.1042389994003632E-283</v>
      </c>
      <c r="Q144" s="4">
        <f>Table13[[#This Row],[Issuer profit with unmarked-up level premium]]/Table13[[#This Row],[Issuer discounter at issue]]</f>
        <v>-1.3984233204124495E-285</v>
      </c>
      <c r="R144" s="4">
        <f>(Table13[[#This Row],[variable premium unmarked up]]*Table13[[#This Row],[unconditional persistency AT ISSUE]]-Table13[[#This Row],[Death benefit pay probability]])</f>
        <v>0</v>
      </c>
      <c r="S144" s="6">
        <f>Table13[[#This Row],[level premium unmarked-up]]*(1+$B$15)</f>
        <v>2.4615991981893799E-3</v>
      </c>
      <c r="T144" s="6">
        <f>MIN(Table13[[#This Row],[variable premium unmarked up]]*(1+$B$15),1)</f>
        <v>1</v>
      </c>
      <c r="U144" s="6">
        <f>Table13[[#This Row],[level premium marked up]]-Table13[[#This Row],[variable premium marked up]]</f>
        <v>-0.99753840080181067</v>
      </c>
      <c r="V144" s="6">
        <f>Table13[[#This Row],[additional cash]]+V143*(1+$D$2)</f>
        <v>-51.734974472779484</v>
      </c>
      <c r="W144" s="12">
        <v>9.3990000000000004E-2</v>
      </c>
      <c r="X144" s="13">
        <f>1-Table13[[#This Row],[one-year conditional mortality NOW]]</f>
        <v>0.90600999999999998</v>
      </c>
      <c r="Y144" s="49">
        <f>PRODUCT(X$17:X144)</f>
        <v>8.5416156441796635E-8</v>
      </c>
      <c r="Z144" s="13">
        <f>Table13[[#This Row],[one-year conditional survival NOW]]*(1-Table13[[#This Row],[Lapse rate]])</f>
        <v>0.87701767999999991</v>
      </c>
      <c r="AA144" s="13">
        <f>PRODUCT(Z$17:Z144)</f>
        <v>1.1747266489842864E-8</v>
      </c>
      <c r="AB144" s="50">
        <f>Y143*Table13[[#This Row],[one-year conditional mortality NOW]]</f>
        <v>8.861121338577351E-9</v>
      </c>
      <c r="AC144" s="14">
        <v>1.9699999999999999E-2</v>
      </c>
      <c r="AD144" s="28">
        <f>(1+Table13[[#This Row],[Yield curve now]])^(Table13[[#This Row],[age since issue]]-$B$11)</f>
        <v>3.2871352792310202</v>
      </c>
      <c r="AE144" s="46">
        <f t="shared" si="3"/>
        <v>70.815644822845925</v>
      </c>
      <c r="AF144" s="42">
        <f>1-Table13[[#This Row],[cumulative debt until t]]</f>
        <v>-69.815644822845925</v>
      </c>
      <c r="AG144" s="46">
        <f>Table13[[#This Row],[cumulative debt until t]]*Table13[[#This Row],[Unconditional mortality NOW]]/Table13[[#This Row],[discouter with yield curve]]</f>
        <v>1.9089753482601761E-7</v>
      </c>
      <c r="AH144" s="48">
        <f>Table13[[#This Row],[Unconditional mortality NOW]]/Table13[[#This Row],[discouter with yield curve]]</f>
        <v>2.6956971909748379E-9</v>
      </c>
      <c r="AI144" s="29">
        <f>Table13[[#This Row],[user profit (death benefit - debt)]]*Table13[[#This Row],[Unconditional mortality NOW]]/Table13[[#This Row],[discouter with yield curve]]</f>
        <v>-1.8820183763504273E-7</v>
      </c>
      <c r="AJ144" s="29">
        <f>(1+$D$4)^(Table13[[#This Row],[age since issue]]-$B$11)</f>
        <v>1.8348636655497323</v>
      </c>
      <c r="AK144" s="57">
        <f>Table13[[#This Row],[level premium marked up]]*Table13[[#This Row],[unconditional survival NOW]]</f>
        <v>2.1026034220954523E-10</v>
      </c>
      <c r="AL144" s="62">
        <f>Table13[[#This Row],[cumulative debt until t]]*Table13[[#This Row],[Unconditional mortality NOW]]</f>
        <v>6.2750602144483476E-7</v>
      </c>
      <c r="AM144" s="47">
        <f>Table13[[#This Row],[probablistic premium stream]]/Table13[[#This Row],[lender discounter]]</f>
        <v>1.1459180655067928E-10</v>
      </c>
      <c r="AN144" s="58">
        <f>Table13[[#This Row],[probablistic repay from borrower]]/Table13[[#This Row],[lender discounter]]</f>
        <v>3.4199054307221868E-7</v>
      </c>
      <c r="AO144" s="47">
        <f>(Table13[[#This Row],[probablistic repay from borrower]]-Table13[[#This Row],[probablistic premium stream]])/Table13[[#This Row],[lender discounter]]</f>
        <v>3.4187595126566798E-7</v>
      </c>
      <c r="AP144" s="46">
        <f>AP143*(1+$D$4)+ Table13[[#This Row],[level premium marked up]]</f>
        <v>0.2100266718993708</v>
      </c>
      <c r="AQ144" s="58">
        <f>AP144*Table13[[#This Row],[Unconditional mortality NOW]]</f>
        <v>1.8610718240378986E-9</v>
      </c>
      <c r="AR144" s="60">
        <f>Table13[[#This Row],[cumulative debt until t]]*Table13[[#This Row],[Unconditional mortality NOW]]</f>
        <v>6.2750602144483476E-7</v>
      </c>
      <c r="AS144" s="58">
        <f>Table13[[#This Row],[lender to pay cumulative probablistic undiscounted]]/Table13[[#This Row],[lender discounter]]</f>
        <v>1.0142834364101457E-9</v>
      </c>
    </row>
    <row r="145" spans="1:45" s="3" customFormat="1">
      <c r="A145" s="3">
        <v>149</v>
      </c>
      <c r="B145" s="8">
        <v>3.2000000000000001E-2</v>
      </c>
      <c r="C145" s="3">
        <v>0</v>
      </c>
      <c r="D145" s="12">
        <v>3.2000000000000001E-2</v>
      </c>
      <c r="E145" s="66">
        <v>0.99999999989999999</v>
      </c>
      <c r="F145" s="13">
        <f>1-Table13[[#This Row],[one-year conditional mortality AT ISSUE]]</f>
        <v>1.000000082740371E-10</v>
      </c>
      <c r="G145" s="13">
        <f>PRODUCT(F$17:F145)</f>
        <v>1.0117520110669798E-301</v>
      </c>
      <c r="H145" s="13">
        <f>Table13[[#This Row],[one-year conditional survival AT ISSUE]]*(1-Table13[[#This Row],[Lapse rate]])</f>
        <v>9.6800008009267909E-11</v>
      </c>
      <c r="I145" s="13">
        <f>PRODUCT(H$17:H145)</f>
        <v>1.0346986155005155E-303</v>
      </c>
      <c r="J145" s="13">
        <f>G144*Table13[[#This Row],[one-year conditional mortality AT ISSUE]]</f>
        <v>1.0117519272530749E-291</v>
      </c>
      <c r="K145" s="10">
        <f>I144*Table13[[#This Row],[one-year conditional mortality AT ISSUE]]</f>
        <v>1.068903439861266E-293</v>
      </c>
      <c r="L145" s="3">
        <f t="shared" ref="L145:L197" si="4">$B$1</f>
        <v>2.4615991981893799E-3</v>
      </c>
      <c r="M145" s="44">
        <f>Table13[[#This Row],[Death benefit pay probability]]/Table13[[#This Row],[unconditional persistency AT ISSUE]]</f>
        <v>10330577656.607809</v>
      </c>
      <c r="N145" s="44">
        <f>Table13[[#This Row],[one-year conditional mortality AT ISSUE]]/Table13[[#This Row],[one-year conditional persistency AT ISSUE]]</f>
        <v>10330577656.607809</v>
      </c>
      <c r="O145" s="4">
        <f>(1+$B$14)^(Table13[[#This Row],[age since issue]]-$A$17)</f>
        <v>81.726852498590603</v>
      </c>
      <c r="P145" s="5">
        <f>(Table13[[#This Row],[level premium unmarked-up]]*Table13[[#This Row],[unconditional persistency AT ISSUE]]-Table13[[#This Row],[Death benefit pay probability]])</f>
        <v>-1.0689034398610114E-293</v>
      </c>
      <c r="Q145" s="4">
        <f>Table13[[#This Row],[Issuer profit with unmarked-up level premium]]/Table13[[#This Row],[Issuer discounter at issue]]</f>
        <v>-1.3078974745533542E-295</v>
      </c>
      <c r="R145" s="4">
        <f>(Table13[[#This Row],[variable premium unmarked up]]*Table13[[#This Row],[unconditional persistency AT ISSUE]]-Table13[[#This Row],[Death benefit pay probability]])</f>
        <v>0</v>
      </c>
      <c r="S145" s="6">
        <f>Table13[[#This Row],[level premium unmarked-up]]*(1+$B$15)</f>
        <v>2.4615991981893799E-3</v>
      </c>
      <c r="T145" s="6">
        <f>MIN(Table13[[#This Row],[variable premium unmarked up]]*(1+$B$15),1)</f>
        <v>1</v>
      </c>
      <c r="U145" s="6">
        <f>Table13[[#This Row],[level premium marked up]]-Table13[[#This Row],[variable premium marked up]]</f>
        <v>-0.99753840080181067</v>
      </c>
      <c r="V145" s="6">
        <f>Table13[[#This Row],[additional cash]]+V144*(1+$D$2)</f>
        <v>-52.784247848054065</v>
      </c>
      <c r="W145" s="12">
        <v>0.10725</v>
      </c>
      <c r="X145" s="13">
        <f>1-Table13[[#This Row],[one-year conditional mortality NOW]]</f>
        <v>0.89275000000000004</v>
      </c>
      <c r="Y145" s="49">
        <f>PRODUCT(X$17:X145)</f>
        <v>7.6255273663413954E-8</v>
      </c>
      <c r="Z145" s="13">
        <f>Table13[[#This Row],[one-year conditional survival NOW]]*(1-Table13[[#This Row],[Lapse rate]])</f>
        <v>0.86418200000000001</v>
      </c>
      <c r="AA145" s="13">
        <f>PRODUCT(Z$17:Z145)</f>
        <v>1.0151776249725385E-8</v>
      </c>
      <c r="AB145" s="50">
        <f>Y144*Table13[[#This Row],[one-year conditional mortality NOW]]</f>
        <v>9.1608827783826893E-9</v>
      </c>
      <c r="AC145" s="14">
        <v>1.9699999999999999E-2</v>
      </c>
      <c r="AD145" s="28">
        <f>(1+Table13[[#This Row],[Yield curve now]])^(Table13[[#This Row],[age since issue]]-$B$11)</f>
        <v>3.3518918442318717</v>
      </c>
      <c r="AE145" s="46">
        <f t="shared" si="3"/>
        <v>80.998592908384069</v>
      </c>
      <c r="AF145" s="42">
        <f>1-Table13[[#This Row],[cumulative debt until t]]</f>
        <v>-79.998592908384069</v>
      </c>
      <c r="AG145" s="46">
        <f>Table13[[#This Row],[cumulative debt until t]]*Table13[[#This Row],[Unconditional mortality NOW]]/Table13[[#This Row],[discouter with yield curve]]</f>
        <v>2.2137307804980466E-7</v>
      </c>
      <c r="AH145" s="48">
        <f>Table13[[#This Row],[Unconditional mortality NOW]]/Table13[[#This Row],[discouter with yield curve]]</f>
        <v>2.7330484407327355E-9</v>
      </c>
      <c r="AI145" s="29">
        <f>Table13[[#This Row],[user profit (death benefit - debt)]]*Table13[[#This Row],[Unconditional mortality NOW]]/Table13[[#This Row],[discouter with yield curve]]</f>
        <v>-2.1864002960907194E-7</v>
      </c>
      <c r="AJ145" s="29">
        <f>(1+$D$4)^(Table13[[#This Row],[age since issue]]-$B$11)</f>
        <v>1.85321230220523</v>
      </c>
      <c r="AK145" s="57">
        <f>Table13[[#This Row],[level premium marked up]]*Table13[[#This Row],[unconditional survival NOW]]</f>
        <v>1.8770992050757154E-10</v>
      </c>
      <c r="AL145" s="62">
        <f>Table13[[#This Row],[cumulative debt until t]]*Table13[[#This Row],[Unconditional mortality NOW]]</f>
        <v>7.420186148476458E-7</v>
      </c>
      <c r="AM145" s="47">
        <f>Table13[[#This Row],[probablistic premium stream]]/Table13[[#This Row],[lender discounter]]</f>
        <v>1.0128894583972172E-10</v>
      </c>
      <c r="AN145" s="58">
        <f>Table13[[#This Row],[probablistic repay from borrower]]/Table13[[#This Row],[lender discounter]]</f>
        <v>4.0039590389329961E-7</v>
      </c>
      <c r="AO145" s="47">
        <f>(Table13[[#This Row],[probablistic repay from borrower]]-Table13[[#This Row],[probablistic premium stream]])/Table13[[#This Row],[lender discounter]]</f>
        <v>4.0029461494745987E-7</v>
      </c>
      <c r="AP145" s="46">
        <f>AP144*(1+$D$4)+ Table13[[#This Row],[level premium marked up]]</f>
        <v>0.2145885378165539</v>
      </c>
      <c r="AQ145" s="58">
        <f>AP145*Table13[[#This Row],[Unconditional mortality NOW]]</f>
        <v>1.9658204405219911E-9</v>
      </c>
      <c r="AR145" s="60">
        <f>Table13[[#This Row],[cumulative debt until t]]*Table13[[#This Row],[Unconditional mortality NOW]]</f>
        <v>7.420186148476458E-7</v>
      </c>
      <c r="AS145" s="58">
        <f>Table13[[#This Row],[lender to pay cumulative probablistic undiscounted]]/Table13[[#This Row],[lender discounter]]</f>
        <v>1.0607637550121823E-9</v>
      </c>
    </row>
    <row r="146" spans="1:45" s="3" customFormat="1">
      <c r="A146" s="3">
        <v>150</v>
      </c>
      <c r="B146" s="8">
        <v>3.2000000000000001E-2</v>
      </c>
      <c r="C146" s="3">
        <v>0</v>
      </c>
      <c r="D146" s="12">
        <v>3.2000000000000001E-2</v>
      </c>
      <c r="E146" s="66">
        <v>0.99999999989999999</v>
      </c>
      <c r="F146" s="13">
        <f>1-Table13[[#This Row],[one-year conditional mortality AT ISSUE]]</f>
        <v>1.000000082740371E-10</v>
      </c>
      <c r="G146" s="13">
        <f>PRODUCT(F$17:F146)</f>
        <v>0</v>
      </c>
      <c r="H146" s="13">
        <f>Table13[[#This Row],[one-year conditional survival AT ISSUE]]*(1-Table13[[#This Row],[Lapse rate]])</f>
        <v>9.6800008009267909E-11</v>
      </c>
      <c r="I146" s="13">
        <f>PRODUCT(H$17:H146)</f>
        <v>0</v>
      </c>
      <c r="J146" s="13">
        <f>G145*Table13[[#This Row],[one-year conditional mortality AT ISSUE]]</f>
        <v>1.0117520109658045E-301</v>
      </c>
      <c r="K146" s="10">
        <f>I145*Table13[[#This Row],[one-year conditional mortality AT ISSUE]]</f>
        <v>1.0346986153970457E-303</v>
      </c>
      <c r="L146" s="3">
        <f t="shared" si="4"/>
        <v>2.4615991981893799E-3</v>
      </c>
      <c r="M146" s="44">
        <v>1</v>
      </c>
      <c r="N146" s="44">
        <f>Table13[[#This Row],[one-year conditional mortality AT ISSUE]]/Table13[[#This Row],[one-year conditional persistency AT ISSUE]]</f>
        <v>10330577656.607809</v>
      </c>
      <c r="O146" s="4">
        <f>(1+$B$14)^(Table13[[#This Row],[age since issue]]-$A$17)</f>
        <v>84.587292336041273</v>
      </c>
      <c r="P146" s="5">
        <f>(Table13[[#This Row],[level premium unmarked-up]]*Table13[[#This Row],[unconditional persistency AT ISSUE]]-Table13[[#This Row],[Death benefit pay probability]])</f>
        <v>-1.0346986153970457E-303</v>
      </c>
      <c r="Q146" s="4">
        <f>Table13[[#This Row],[Issuer profit with unmarked-up level premium]]/Table13[[#This Row],[Issuer discounter at issue]]</f>
        <v>-1.2232317489091414E-305</v>
      </c>
      <c r="R146" s="4">
        <f>(Table13[[#This Row],[variable premium unmarked up]]*Table13[[#This Row],[unconditional persistency AT ISSUE]]-Table13[[#This Row],[Death benefit pay probability]])</f>
        <v>-1.0346986153970457E-303</v>
      </c>
      <c r="S146" s="6">
        <f>Table13[[#This Row],[level premium unmarked-up]]*(1+$B$15)</f>
        <v>2.4615991981893799E-3</v>
      </c>
      <c r="T146" s="6">
        <f>MIN(Table13[[#This Row],[variable premium unmarked up]]*(1+$B$15),1)</f>
        <v>1</v>
      </c>
      <c r="U146" s="6">
        <f>Table13[[#This Row],[level premium marked up]]-Table13[[#This Row],[variable premium marked up]]</f>
        <v>-0.99753840080181067</v>
      </c>
      <c r="V146" s="6">
        <f>Table13[[#This Row],[additional cash]]+V145*(1+$D$2)</f>
        <v>-53.834570496703918</v>
      </c>
      <c r="W146" s="12">
        <v>0.12161</v>
      </c>
      <c r="X146" s="13">
        <f>1-Table13[[#This Row],[one-year conditional mortality NOW]]</f>
        <v>0.87839</v>
      </c>
      <c r="Y146" s="49">
        <f>PRODUCT(X$17:X146)</f>
        <v>6.6981869833206178E-8</v>
      </c>
      <c r="Z146" s="13">
        <f>Table13[[#This Row],[one-year conditional survival NOW]]*(1-Table13[[#This Row],[Lapse rate]])</f>
        <v>0.85028152000000001</v>
      </c>
      <c r="AA146" s="13">
        <f>PRODUCT(Z$17:Z146)</f>
        <v>8.6318677403164009E-9</v>
      </c>
      <c r="AB146" s="50">
        <f>Y145*Table13[[#This Row],[one-year conditional mortality NOW]]</f>
        <v>9.2734038302077701E-9</v>
      </c>
      <c r="AC146" s="14">
        <v>1.9699999999999999E-2</v>
      </c>
      <c r="AD146" s="28">
        <f>(1+Table13[[#This Row],[Yield curve now]])^(Table13[[#This Row],[age since issue]]-$B$11)</f>
        <v>3.4179241135632394</v>
      </c>
      <c r="AE146" s="46">
        <f t="shared" si="3"/>
        <v>92.645394951808512</v>
      </c>
      <c r="AF146" s="42">
        <f>1-Table13[[#This Row],[cumulative debt until t]]</f>
        <v>-91.645394951808512</v>
      </c>
      <c r="AG146" s="46">
        <f>Table13[[#This Row],[cumulative debt until t]]*Table13[[#This Row],[Unconditional mortality NOW]]/Table13[[#This Row],[discouter with yield curve]]</f>
        <v>2.5136256155832195E-7</v>
      </c>
      <c r="AH146" s="48">
        <f>Table13[[#This Row],[Unconditional mortality NOW]]/Table13[[#This Row],[discouter with yield curve]]</f>
        <v>2.7131684385292279E-9</v>
      </c>
      <c r="AI146" s="29">
        <f>Table13[[#This Row],[user profit (death benefit - debt)]]*Table13[[#This Row],[Unconditional mortality NOW]]/Table13[[#This Row],[discouter with yield curve]]</f>
        <v>-2.4864939311979271E-7</v>
      </c>
      <c r="AJ146" s="29">
        <f>(1+$D$4)^(Table13[[#This Row],[age since issue]]-$B$11)</f>
        <v>1.8717444252272817</v>
      </c>
      <c r="AK146" s="57">
        <f>Table13[[#This Row],[level premium marked up]]*Table13[[#This Row],[unconditional survival NOW]]</f>
        <v>1.6488251707464574E-10</v>
      </c>
      <c r="AL146" s="62">
        <f>Table13[[#This Row],[cumulative debt until t]]*Table13[[#This Row],[Unconditional mortality NOW]]</f>
        <v>8.5913816039721271E-7</v>
      </c>
      <c r="AM146" s="47">
        <f>Table13[[#This Row],[probablistic premium stream]]/Table13[[#This Row],[lender discounter]]</f>
        <v>8.8090294194211065E-11</v>
      </c>
      <c r="AN146" s="58">
        <f>Table13[[#This Row],[probablistic repay from borrower]]/Table13[[#This Row],[lender discounter]]</f>
        <v>4.5900399051162636E-7</v>
      </c>
      <c r="AO146" s="47">
        <f>(Table13[[#This Row],[probablistic repay from borrower]]-Table13[[#This Row],[probablistic premium stream]])/Table13[[#This Row],[lender discounter]]</f>
        <v>4.5891590021743213E-7</v>
      </c>
      <c r="AP146" s="46">
        <f>AP145*(1+$D$4)+ Table13[[#This Row],[level premium marked up]]</f>
        <v>0.21919602239290883</v>
      </c>
      <c r="AQ146" s="58">
        <f>AP146*Table13[[#This Row],[Unconditional mortality NOW]]</f>
        <v>2.0326932336247088E-9</v>
      </c>
      <c r="AR146" s="60">
        <f>Table13[[#This Row],[cumulative debt until t]]*Table13[[#This Row],[Unconditional mortality NOW]]</f>
        <v>8.5913816039721271E-7</v>
      </c>
      <c r="AS146" s="58">
        <f>Table13[[#This Row],[lender to pay cumulative probablistic undiscounted]]/Table13[[#This Row],[lender discounter]]</f>
        <v>1.0859886671642596E-9</v>
      </c>
    </row>
    <row r="147" spans="1:45" s="3" customFormat="1">
      <c r="A147" s="3">
        <v>151</v>
      </c>
      <c r="B147" s="8">
        <v>3.2000000000000001E-2</v>
      </c>
      <c r="C147" s="3">
        <v>0</v>
      </c>
      <c r="D147" s="12">
        <v>3.2000000000000001E-2</v>
      </c>
      <c r="E147" s="66">
        <v>0.99999999989999999</v>
      </c>
      <c r="F147" s="13">
        <f>1-Table13[[#This Row],[one-year conditional mortality AT ISSUE]]</f>
        <v>1.000000082740371E-10</v>
      </c>
      <c r="G147" s="13">
        <f>PRODUCT(F$17:F147)</f>
        <v>0</v>
      </c>
      <c r="H147" s="13">
        <f>Table13[[#This Row],[one-year conditional survival AT ISSUE]]*(1-Table13[[#This Row],[Lapse rate]])</f>
        <v>9.6800008009267909E-11</v>
      </c>
      <c r="I147" s="13">
        <f>PRODUCT(H$17:H147)</f>
        <v>0</v>
      </c>
      <c r="J147" s="13">
        <f>G146*Table13[[#This Row],[one-year conditional mortality AT ISSUE]]</f>
        <v>0</v>
      </c>
      <c r="K147" s="10">
        <f>I146*Table13[[#This Row],[one-year conditional mortality AT ISSUE]]</f>
        <v>0</v>
      </c>
      <c r="L147" s="3">
        <f t="shared" si="4"/>
        <v>2.4615991981893799E-3</v>
      </c>
      <c r="M147" s="44">
        <v>1</v>
      </c>
      <c r="N147" s="44">
        <f>Table13[[#This Row],[one-year conditional mortality AT ISSUE]]/Table13[[#This Row],[one-year conditional persistency AT ISSUE]]</f>
        <v>10330577656.607809</v>
      </c>
      <c r="O147" s="4">
        <f>(1+$B$14)^(Table13[[#This Row],[age since issue]]-$A$17)</f>
        <v>87.547847567802705</v>
      </c>
      <c r="P147" s="5">
        <f>(Table13[[#This Row],[level premium unmarked-up]]*Table13[[#This Row],[unconditional persistency AT ISSUE]]-Table13[[#This Row],[Death benefit pay probability]])</f>
        <v>0</v>
      </c>
      <c r="Q147" s="4">
        <f>Table13[[#This Row],[Issuer profit with unmarked-up level premium]]/Table13[[#This Row],[Issuer discounter at issue]]</f>
        <v>0</v>
      </c>
      <c r="R147" s="4">
        <f>(Table13[[#This Row],[variable premium unmarked up]]*Table13[[#This Row],[unconditional persistency AT ISSUE]]-Table13[[#This Row],[Death benefit pay probability]])</f>
        <v>0</v>
      </c>
      <c r="S147" s="6">
        <f>Table13[[#This Row],[level premium unmarked-up]]*(1+$B$15)</f>
        <v>2.4615991981893799E-3</v>
      </c>
      <c r="T147" s="6">
        <f>MIN(Table13[[#This Row],[variable premium unmarked up]]*(1+$B$15),1)</f>
        <v>1</v>
      </c>
      <c r="U147" s="6">
        <f>Table13[[#This Row],[level premium marked up]]-Table13[[#This Row],[variable premium marked up]]</f>
        <v>-0.99753840080181067</v>
      </c>
      <c r="V147" s="6">
        <f>Table13[[#This Row],[additional cash]]+V146*(1+$D$2)</f>
        <v>-54.885943468002424</v>
      </c>
      <c r="W147" s="12">
        <v>0.13689999999999999</v>
      </c>
      <c r="X147" s="13">
        <f>1-Table13[[#This Row],[one-year conditional mortality NOW]]</f>
        <v>0.86309999999999998</v>
      </c>
      <c r="Y147" s="49">
        <f>PRODUCT(X$17:X147)</f>
        <v>5.7812051853040252E-8</v>
      </c>
      <c r="Z147" s="13">
        <f>Table13[[#This Row],[one-year conditional survival NOW]]*(1-Table13[[#This Row],[Lapse rate]])</f>
        <v>0.83548079999999991</v>
      </c>
      <c r="AA147" s="13">
        <f>PRODUCT(Z$17:Z147)</f>
        <v>7.2117597651737381E-9</v>
      </c>
      <c r="AB147" s="50">
        <f>Y146*Table13[[#This Row],[one-year conditional mortality NOW]]</f>
        <v>9.1698179801659248E-9</v>
      </c>
      <c r="AC147" s="14">
        <v>1.9699999999999999E-2</v>
      </c>
      <c r="AD147" s="28">
        <f>(1+Table13[[#This Row],[Yield curve now]])^(Table13[[#This Row],[age since issue]]-$B$11)</f>
        <v>3.4852572186004354</v>
      </c>
      <c r="AE147" s="46">
        <f t="shared" si="3"/>
        <v>105.96648789063667</v>
      </c>
      <c r="AF147" s="42">
        <f>1-Table13[[#This Row],[cumulative debt until t]]</f>
        <v>-104.96648789063667</v>
      </c>
      <c r="AG147" s="46">
        <f>Table13[[#This Row],[cumulative debt until t]]*Table13[[#This Row],[Unconditional mortality NOW]]/Table13[[#This Row],[discouter with yield curve]]</f>
        <v>2.7880105972344704E-7</v>
      </c>
      <c r="AH147" s="48">
        <f>Table13[[#This Row],[Unconditional mortality NOW]]/Table13[[#This Row],[discouter with yield curve]]</f>
        <v>2.6310304821198309E-9</v>
      </c>
      <c r="AI147" s="29">
        <f>Table13[[#This Row],[user profit (death benefit - debt)]]*Table13[[#This Row],[Unconditional mortality NOW]]/Table13[[#This Row],[discouter with yield curve]]</f>
        <v>-2.7617002924132722E-7</v>
      </c>
      <c r="AJ147" s="29">
        <f>(1+$D$4)^(Table13[[#This Row],[age since issue]]-$B$11)</f>
        <v>1.890461869479555</v>
      </c>
      <c r="AK147" s="57">
        <f>Table13[[#This Row],[level premium marked up]]*Table13[[#This Row],[unconditional survival NOW]]</f>
        <v>1.4231010048712674E-10</v>
      </c>
      <c r="AL147" s="62">
        <f>Table13[[#This Row],[cumulative debt until t]]*Table13[[#This Row],[Unconditional mortality NOW]]</f>
        <v>9.7169340595459497E-7</v>
      </c>
      <c r="AM147" s="47">
        <f>Table13[[#This Row],[probablistic premium stream]]/Table13[[#This Row],[lender discounter]]</f>
        <v>7.5277953385171843E-11</v>
      </c>
      <c r="AN147" s="58">
        <f>Table13[[#This Row],[probablistic repay from borrower]]/Table13[[#This Row],[lender discounter]]</f>
        <v>5.1399788678208175E-7</v>
      </c>
      <c r="AO147" s="47">
        <f>(Table13[[#This Row],[probablistic repay from borrower]]-Table13[[#This Row],[probablistic premium stream]])/Table13[[#This Row],[lender discounter]]</f>
        <v>5.1392260882869661E-7</v>
      </c>
      <c r="AP147" s="46">
        <f>AP146*(1+$D$4)+ Table13[[#This Row],[level premium marked up]]</f>
        <v>0.22384958181502732</v>
      </c>
      <c r="AQ147" s="58">
        <f>AP147*Table13[[#This Row],[Unconditional mortality NOW]]</f>
        <v>2.0526599201800605E-9</v>
      </c>
      <c r="AR147" s="60">
        <f>Table13[[#This Row],[cumulative debt until t]]*Table13[[#This Row],[Unconditional mortality NOW]]</f>
        <v>9.7169340595459497E-7</v>
      </c>
      <c r="AS147" s="58">
        <f>Table13[[#This Row],[lender to pay cumulative probablistic undiscounted]]/Table13[[#This Row],[lender discounter]]</f>
        <v>1.0857981074990732E-9</v>
      </c>
    </row>
    <row r="148" spans="1:45" s="3" customFormat="1">
      <c r="A148" s="3">
        <v>152</v>
      </c>
      <c r="B148" s="8">
        <v>3.2000000000000001E-2</v>
      </c>
      <c r="C148" s="3">
        <v>0</v>
      </c>
      <c r="D148" s="12">
        <v>3.2000000000000001E-2</v>
      </c>
      <c r="E148" s="66">
        <v>0.99999999989999999</v>
      </c>
      <c r="F148" s="13">
        <f>1-Table13[[#This Row],[one-year conditional mortality AT ISSUE]]</f>
        <v>1.000000082740371E-10</v>
      </c>
      <c r="G148" s="13">
        <f>PRODUCT(F$17:F148)</f>
        <v>0</v>
      </c>
      <c r="H148" s="13">
        <f>Table13[[#This Row],[one-year conditional survival AT ISSUE]]*(1-Table13[[#This Row],[Lapse rate]])</f>
        <v>9.6800008009267909E-11</v>
      </c>
      <c r="I148" s="13">
        <f>PRODUCT(H$17:H148)</f>
        <v>0</v>
      </c>
      <c r="J148" s="13">
        <f>G147*Table13[[#This Row],[one-year conditional mortality AT ISSUE]]</f>
        <v>0</v>
      </c>
      <c r="K148" s="10">
        <f>I147*Table13[[#This Row],[one-year conditional mortality AT ISSUE]]</f>
        <v>0</v>
      </c>
      <c r="L148" s="3">
        <f t="shared" si="4"/>
        <v>2.4615991981893799E-3</v>
      </c>
      <c r="M148" s="44">
        <v>1</v>
      </c>
      <c r="N148" s="44">
        <f>Table13[[#This Row],[one-year conditional mortality AT ISSUE]]/Table13[[#This Row],[one-year conditional persistency AT ISSUE]]</f>
        <v>10330577656.607809</v>
      </c>
      <c r="O148" s="4">
        <f>(1+$B$14)^(Table13[[#This Row],[age since issue]]-$A$17)</f>
        <v>90.612022232675798</v>
      </c>
      <c r="P148" s="5">
        <f>(Table13[[#This Row],[level premium unmarked-up]]*Table13[[#This Row],[unconditional persistency AT ISSUE]]-Table13[[#This Row],[Death benefit pay probability]])</f>
        <v>0</v>
      </c>
      <c r="Q148" s="4">
        <f>Table13[[#This Row],[Issuer profit with unmarked-up level premium]]/Table13[[#This Row],[Issuer discounter at issue]]</f>
        <v>0</v>
      </c>
      <c r="R148" s="4">
        <f>(Table13[[#This Row],[variable premium unmarked up]]*Table13[[#This Row],[unconditional persistency AT ISSUE]]-Table13[[#This Row],[Death benefit pay probability]])</f>
        <v>0</v>
      </c>
      <c r="S148" s="6">
        <f>Table13[[#This Row],[level premium unmarked-up]]*(1+$B$15)</f>
        <v>2.4615991981893799E-3</v>
      </c>
      <c r="T148" s="6">
        <f>MIN(Table13[[#This Row],[variable premium unmarked up]]*(1+$B$15),1)</f>
        <v>1</v>
      </c>
      <c r="U148" s="6">
        <f>Table13[[#This Row],[level premium marked up]]-Table13[[#This Row],[variable premium marked up]]</f>
        <v>-0.99753840080181067</v>
      </c>
      <c r="V148" s="6">
        <f>Table13[[#This Row],[additional cash]]+V147*(1+$D$2)</f>
        <v>-55.938367812272226</v>
      </c>
      <c r="W148" s="12">
        <v>0.15260000000000001</v>
      </c>
      <c r="X148" s="13">
        <f>1-Table13[[#This Row],[one-year conditional mortality NOW]]</f>
        <v>0.84739999999999993</v>
      </c>
      <c r="Y148" s="49">
        <f>PRODUCT(X$17:X148)</f>
        <v>4.8989932740266306E-8</v>
      </c>
      <c r="Z148" s="13">
        <f>Table13[[#This Row],[one-year conditional survival NOW]]*(1-Table13[[#This Row],[Lapse rate]])</f>
        <v>0.82028319999999988</v>
      </c>
      <c r="AA148" s="13">
        <f>PRODUCT(Z$17:Z148)</f>
        <v>5.9156853778079614E-9</v>
      </c>
      <c r="AB148" s="50">
        <f>Y147*Table13[[#This Row],[one-year conditional mortality NOW]]</f>
        <v>8.8221191127739428E-9</v>
      </c>
      <c r="AC148" s="14">
        <v>1.9699999999999999E-2</v>
      </c>
      <c r="AD148" s="28">
        <f>(1+Table13[[#This Row],[Yield curve now]])^(Table13[[#This Row],[age since issue]]-$B$11)</f>
        <v>3.5539167858068641</v>
      </c>
      <c r="AE148" s="46">
        <f t="shared" si="3"/>
        <v>121.20256011228854</v>
      </c>
      <c r="AF148" s="42">
        <f>1-Table13[[#This Row],[cumulative debt until t]]</f>
        <v>-120.20256011228854</v>
      </c>
      <c r="AG148" s="46">
        <f>Table13[[#This Row],[cumulative debt until t]]*Table13[[#This Row],[Unconditional mortality NOW]]/Table13[[#This Row],[discouter with yield curve]]</f>
        <v>3.008690091884054E-7</v>
      </c>
      <c r="AH148" s="48">
        <f>Table13[[#This Row],[Unconditional mortality NOW]]/Table13[[#This Row],[discouter with yield curve]]</f>
        <v>2.4823651324663788E-9</v>
      </c>
      <c r="AI148" s="29">
        <f>Table13[[#This Row],[user profit (death benefit - debt)]]*Table13[[#This Row],[Unconditional mortality NOW]]/Table13[[#This Row],[discouter with yield curve]]</f>
        <v>-2.9838664405593897E-7</v>
      </c>
      <c r="AJ148" s="29">
        <f>(1+$D$4)^(Table13[[#This Row],[age since issue]]-$B$11)</f>
        <v>1.9093664881743506</v>
      </c>
      <c r="AK148" s="57">
        <f>Table13[[#This Row],[level premium marked up]]*Table13[[#This Row],[unconditional survival NOW]]</f>
        <v>1.2059357915279119E-10</v>
      </c>
      <c r="AL148" s="62">
        <f>Table13[[#This Row],[cumulative debt until t]]*Table13[[#This Row],[Unconditional mortality NOW]]</f>
        <v>1.0692634220837535E-6</v>
      </c>
      <c r="AM148" s="47">
        <f>Table13[[#This Row],[probablistic premium stream]]/Table13[[#This Row],[lender discounter]]</f>
        <v>6.31589482164303E-11</v>
      </c>
      <c r="AN148" s="58">
        <f>Table13[[#This Row],[probablistic repay from borrower]]/Table13[[#This Row],[lender discounter]]</f>
        <v>5.6000952604239672E-7</v>
      </c>
      <c r="AO148" s="47">
        <f>(Table13[[#This Row],[probablistic repay from borrower]]-Table13[[#This Row],[probablistic premium stream]])/Table13[[#This Row],[lender discounter]]</f>
        <v>5.5994636709418031E-7</v>
      </c>
      <c r="AP148" s="46">
        <f>AP147*(1+$D$4)+ Table13[[#This Row],[level premium marked up]]</f>
        <v>0.22854967683136698</v>
      </c>
      <c r="AQ148" s="58">
        <f>AP148*Table13[[#This Row],[Unconditional mortality NOW]]</f>
        <v>2.0162924721923106E-9</v>
      </c>
      <c r="AR148" s="60">
        <f>Table13[[#This Row],[cumulative debt until t]]*Table13[[#This Row],[Unconditional mortality NOW]]</f>
        <v>1.0692634220837535E-6</v>
      </c>
      <c r="AS148" s="58">
        <f>Table13[[#This Row],[lender to pay cumulative probablistic undiscounted]]/Table13[[#This Row],[lender discounter]]</f>
        <v>1.0560007650077685E-9</v>
      </c>
    </row>
    <row r="149" spans="1:45" s="3" customFormat="1">
      <c r="A149" s="3">
        <v>153</v>
      </c>
      <c r="B149" s="8">
        <v>3.2000000000000001E-2</v>
      </c>
      <c r="C149" s="3">
        <v>0</v>
      </c>
      <c r="D149" s="12">
        <v>3.2000000000000001E-2</v>
      </c>
      <c r="E149" s="66">
        <v>0.99999999989999999</v>
      </c>
      <c r="F149" s="13">
        <f>1-Table13[[#This Row],[one-year conditional mortality AT ISSUE]]</f>
        <v>1.000000082740371E-10</v>
      </c>
      <c r="G149" s="13">
        <f>PRODUCT(F$17:F149)</f>
        <v>0</v>
      </c>
      <c r="H149" s="13">
        <f>Table13[[#This Row],[one-year conditional survival AT ISSUE]]*(1-Table13[[#This Row],[Lapse rate]])</f>
        <v>9.6800008009267909E-11</v>
      </c>
      <c r="I149" s="13">
        <f>PRODUCT(H$17:H149)</f>
        <v>0</v>
      </c>
      <c r="J149" s="13">
        <f>G148*Table13[[#This Row],[one-year conditional mortality AT ISSUE]]</f>
        <v>0</v>
      </c>
      <c r="K149" s="10">
        <f>I148*Table13[[#This Row],[one-year conditional mortality AT ISSUE]]</f>
        <v>0</v>
      </c>
      <c r="L149" s="3">
        <f t="shared" si="4"/>
        <v>2.4615991981893799E-3</v>
      </c>
      <c r="M149" s="44">
        <v>1</v>
      </c>
      <c r="N149" s="44">
        <f>Table13[[#This Row],[one-year conditional mortality AT ISSUE]]/Table13[[#This Row],[one-year conditional persistency AT ISSUE]]</f>
        <v>10330577656.607809</v>
      </c>
      <c r="O149" s="4">
        <f>(1+$B$14)^(Table13[[#This Row],[age since issue]]-$A$17)</f>
        <v>93.78344301081944</v>
      </c>
      <c r="P149" s="5">
        <f>(Table13[[#This Row],[level premium unmarked-up]]*Table13[[#This Row],[unconditional persistency AT ISSUE]]-Table13[[#This Row],[Death benefit pay probability]])</f>
        <v>0</v>
      </c>
      <c r="Q149" s="4">
        <f>Table13[[#This Row],[Issuer profit with unmarked-up level premium]]/Table13[[#This Row],[Issuer discounter at issue]]</f>
        <v>0</v>
      </c>
      <c r="R149" s="4">
        <f>(Table13[[#This Row],[variable premium unmarked up]]*Table13[[#This Row],[unconditional persistency AT ISSUE]]-Table13[[#This Row],[Death benefit pay probability]])</f>
        <v>0</v>
      </c>
      <c r="S149" s="6">
        <f>Table13[[#This Row],[level premium unmarked-up]]*(1+$B$15)</f>
        <v>2.4615991981893799E-3</v>
      </c>
      <c r="T149" s="6">
        <f>MIN(Table13[[#This Row],[variable premium unmarked up]]*(1+$B$15),1)</f>
        <v>1</v>
      </c>
      <c r="U149" s="6">
        <f>Table13[[#This Row],[level premium marked up]]-Table13[[#This Row],[variable premium marked up]]</f>
        <v>-0.99753840080181067</v>
      </c>
      <c r="V149" s="6">
        <f>Table13[[#This Row],[additional cash]]+V148*(1+$D$2)</f>
        <v>-56.991844580886301</v>
      </c>
      <c r="W149" s="12">
        <v>0.16828000000000001</v>
      </c>
      <c r="X149" s="13">
        <f>1-Table13[[#This Row],[one-year conditional mortality NOW]]</f>
        <v>0.83172000000000001</v>
      </c>
      <c r="Y149" s="49">
        <f>PRODUCT(X$17:X149)</f>
        <v>4.0745906858734293E-8</v>
      </c>
      <c r="Z149" s="13">
        <f>Table13[[#This Row],[one-year conditional survival NOW]]*(1-Table13[[#This Row],[Lapse rate]])</f>
        <v>0.80510495999999998</v>
      </c>
      <c r="AA149" s="13">
        <f>PRODUCT(Z$17:Z149)</f>
        <v>4.7627476394726634E-9</v>
      </c>
      <c r="AB149" s="50">
        <f>Y148*Table13[[#This Row],[one-year conditional mortality NOW]]</f>
        <v>8.2440258815320141E-9</v>
      </c>
      <c r="AC149" s="14">
        <v>1.9699999999999999E-2</v>
      </c>
      <c r="AD149" s="28">
        <f>(1+Table13[[#This Row],[Yield curve now]])^(Table13[[#This Row],[age since issue]]-$B$11)</f>
        <v>3.6239289464872595</v>
      </c>
      <c r="AE149" s="46">
        <f t="shared" si="3"/>
        <v>138.62890026391068</v>
      </c>
      <c r="AF149" s="42">
        <f>1-Table13[[#This Row],[cumulative debt until t]]</f>
        <v>-137.62890026391068</v>
      </c>
      <c r="AG149" s="46">
        <f>Table13[[#This Row],[cumulative debt until t]]*Table13[[#This Row],[Unconditional mortality NOW]]/Table13[[#This Row],[discouter with yield curve]]</f>
        <v>3.15364969506865E-7</v>
      </c>
      <c r="AH149" s="48">
        <f>Table13[[#This Row],[Unconditional mortality NOW]]/Table13[[#This Row],[discouter with yield curve]]</f>
        <v>2.2748861810668497E-9</v>
      </c>
      <c r="AI149" s="29">
        <f>Table13[[#This Row],[user profit (death benefit - debt)]]*Table13[[#This Row],[Unconditional mortality NOW]]/Table13[[#This Row],[discouter with yield curve]]</f>
        <v>-3.1309008332579814E-7</v>
      </c>
      <c r="AJ149" s="29">
        <f>(1+$D$4)^(Table13[[#This Row],[age since issue]]-$B$11)</f>
        <v>1.9284601530560941</v>
      </c>
      <c r="AK149" s="57">
        <f>Table13[[#This Row],[level premium marked up]]*Table13[[#This Row],[unconditional survival NOW]]</f>
        <v>1.003000916529595E-10</v>
      </c>
      <c r="AL149" s="62">
        <f>Table13[[#This Row],[cumulative debt until t]]*Table13[[#This Row],[Unconditional mortality NOW]]</f>
        <v>1.142860241704E-6</v>
      </c>
      <c r="AM149" s="47">
        <f>Table13[[#This Row],[probablistic premium stream]]/Table13[[#This Row],[lender discounter]]</f>
        <v>5.2010455852048926E-11</v>
      </c>
      <c r="AN149" s="58">
        <f>Table13[[#This Row],[probablistic repay from borrower]]/Table13[[#This Row],[lender discounter]]</f>
        <v>5.9262839312125364E-7</v>
      </c>
      <c r="AO149" s="47">
        <f>(Table13[[#This Row],[probablistic repay from borrower]]-Table13[[#This Row],[probablistic premium stream]])/Table13[[#This Row],[lender discounter]]</f>
        <v>5.9257638266540159E-7</v>
      </c>
      <c r="AP149" s="46">
        <f>AP148*(1+$D$4)+ Table13[[#This Row],[level premium marked up]]</f>
        <v>0.23329677279787003</v>
      </c>
      <c r="AQ149" s="58">
        <f>AP149*Table13[[#This Row],[Unconditional mortality NOW]]</f>
        <v>1.9233046330235345E-9</v>
      </c>
      <c r="AR149" s="60">
        <f>Table13[[#This Row],[cumulative debt until t]]*Table13[[#This Row],[Unconditional mortality NOW]]</f>
        <v>1.142860241704E-6</v>
      </c>
      <c r="AS149" s="58">
        <f>Table13[[#This Row],[lender to pay cumulative probablistic undiscounted]]/Table13[[#This Row],[lender discounter]]</f>
        <v>9.9732661314033919E-10</v>
      </c>
    </row>
    <row r="150" spans="1:45" s="3" customFormat="1">
      <c r="A150" s="3">
        <v>154</v>
      </c>
      <c r="B150" s="8">
        <v>3.2000000000000001E-2</v>
      </c>
      <c r="C150" s="3">
        <v>0</v>
      </c>
      <c r="D150" s="12">
        <v>3.2000000000000001E-2</v>
      </c>
      <c r="E150" s="66">
        <v>0.99999999989999999</v>
      </c>
      <c r="F150" s="13">
        <f>1-Table13[[#This Row],[one-year conditional mortality AT ISSUE]]</f>
        <v>1.000000082740371E-10</v>
      </c>
      <c r="G150" s="13">
        <f>PRODUCT(F$17:F150)</f>
        <v>0</v>
      </c>
      <c r="H150" s="13">
        <f>Table13[[#This Row],[one-year conditional survival AT ISSUE]]*(1-Table13[[#This Row],[Lapse rate]])</f>
        <v>9.6800008009267909E-11</v>
      </c>
      <c r="I150" s="13">
        <f>PRODUCT(H$17:H150)</f>
        <v>0</v>
      </c>
      <c r="J150" s="13">
        <f>G149*Table13[[#This Row],[one-year conditional mortality AT ISSUE]]</f>
        <v>0</v>
      </c>
      <c r="K150" s="10">
        <f>I149*Table13[[#This Row],[one-year conditional mortality AT ISSUE]]</f>
        <v>0</v>
      </c>
      <c r="L150" s="3">
        <f t="shared" si="4"/>
        <v>2.4615991981893799E-3</v>
      </c>
      <c r="M150" s="44">
        <v>1</v>
      </c>
      <c r="N150" s="44">
        <f>Table13[[#This Row],[one-year conditional mortality AT ISSUE]]/Table13[[#This Row],[one-year conditional persistency AT ISSUE]]</f>
        <v>10330577656.607809</v>
      </c>
      <c r="O150" s="4">
        <f>(1+$B$14)^(Table13[[#This Row],[age since issue]]-$A$17)</f>
        <v>97.065863516198107</v>
      </c>
      <c r="P150" s="5">
        <f>(Table13[[#This Row],[level premium unmarked-up]]*Table13[[#This Row],[unconditional persistency AT ISSUE]]-Table13[[#This Row],[Death benefit pay probability]])</f>
        <v>0</v>
      </c>
      <c r="Q150" s="4">
        <f>Table13[[#This Row],[Issuer profit with unmarked-up level premium]]/Table13[[#This Row],[Issuer discounter at issue]]</f>
        <v>0</v>
      </c>
      <c r="R150" s="4">
        <f>(Table13[[#This Row],[variable premium unmarked up]]*Table13[[#This Row],[unconditional persistency AT ISSUE]]-Table13[[#This Row],[Death benefit pay probability]])</f>
        <v>0</v>
      </c>
      <c r="S150" s="6">
        <f>Table13[[#This Row],[level premium unmarked-up]]*(1+$B$15)</f>
        <v>2.4615991981893799E-3</v>
      </c>
      <c r="T150" s="6">
        <f>MIN(Table13[[#This Row],[variable premium unmarked up]]*(1+$B$15),1)</f>
        <v>1</v>
      </c>
      <c r="U150" s="6">
        <f>Table13[[#This Row],[level premium marked up]]-Table13[[#This Row],[variable premium marked up]]</f>
        <v>-0.99753840080181067</v>
      </c>
      <c r="V150" s="6">
        <f>Table13[[#This Row],[additional cash]]+V149*(1+$D$2)</f>
        <v>-58.046374826268988</v>
      </c>
      <c r="W150" s="12">
        <v>0.18373999999999999</v>
      </c>
      <c r="X150" s="13">
        <f>1-Table13[[#This Row],[one-year conditional mortality NOW]]</f>
        <v>0.81625999999999999</v>
      </c>
      <c r="Y150" s="49">
        <f>PRODUCT(X$17:X150)</f>
        <v>3.3259253932510455E-8</v>
      </c>
      <c r="Z150" s="13">
        <f>Table13[[#This Row],[one-year conditional survival NOW]]*(1-Table13[[#This Row],[Lapse rate]])</f>
        <v>0.79013968000000001</v>
      </c>
      <c r="AA150" s="13">
        <f>PRODUCT(Z$17:Z150)</f>
        <v>3.7632358957736855E-9</v>
      </c>
      <c r="AB150" s="50">
        <f>Y149*Table13[[#This Row],[one-year conditional mortality NOW]]</f>
        <v>7.4866529262238386E-9</v>
      </c>
      <c r="AC150" s="14">
        <v>1.9699999999999999E-2</v>
      </c>
      <c r="AD150" s="28">
        <f>(1+Table13[[#This Row],[Yield curve now]])^(Table13[[#This Row],[age since issue]]-$B$11)</f>
        <v>3.6953203467330584</v>
      </c>
      <c r="AE150" s="46">
        <f t="shared" si="3"/>
        <v>158.5603712271741</v>
      </c>
      <c r="AF150" s="42">
        <f>1-Table13[[#This Row],[cumulative debt until t]]</f>
        <v>-157.5603712271741</v>
      </c>
      <c r="AG150" s="46">
        <f>Table13[[#This Row],[cumulative debt until t]]*Table13[[#This Row],[Unconditional mortality NOW]]/Table13[[#This Row],[discouter with yield curve]]</f>
        <v>3.2124047602003843E-7</v>
      </c>
      <c r="AH150" s="48">
        <f>Table13[[#This Row],[Unconditional mortality NOW]]/Table13[[#This Row],[discouter with yield curve]]</f>
        <v>2.0259821135243669E-9</v>
      </c>
      <c r="AI150" s="29">
        <f>Table13[[#This Row],[user profit (death benefit - debt)]]*Table13[[#This Row],[Unconditional mortality NOW]]/Table13[[#This Row],[discouter with yield curve]]</f>
        <v>-3.1921449390651404E-7</v>
      </c>
      <c r="AJ150" s="29">
        <f>(1+$D$4)^(Table13[[#This Row],[age since issue]]-$B$11)</f>
        <v>1.9477447545866549</v>
      </c>
      <c r="AK150" s="57">
        <f>Table13[[#This Row],[level premium marked up]]*Table13[[#This Row],[unconditional survival NOW]]</f>
        <v>8.1870952812644714E-11</v>
      </c>
      <c r="AL150" s="62">
        <f>Table13[[#This Row],[cumulative debt until t]]*Table13[[#This Row],[Unconditional mortality NOW]]</f>
        <v>1.1870864672310612E-6</v>
      </c>
      <c r="AM150" s="47">
        <f>Table13[[#This Row],[probablistic premium stream]]/Table13[[#This Row],[lender discounter]]</f>
        <v>4.2033717518607382E-11</v>
      </c>
      <c r="AN150" s="58">
        <f>Table13[[#This Row],[probablistic repay from borrower]]/Table13[[#This Row],[lender discounter]]</f>
        <v>6.094671616676907E-7</v>
      </c>
      <c r="AO150" s="47">
        <f>(Table13[[#This Row],[probablistic repay from borrower]]-Table13[[#This Row],[probablistic premium stream]])/Table13[[#This Row],[lender discounter]]</f>
        <v>6.0942512795017205E-7</v>
      </c>
      <c r="AP150" s="46">
        <f>AP149*(1+$D$4)+ Table13[[#This Row],[level premium marked up]]</f>
        <v>0.23809133972403812</v>
      </c>
      <c r="AQ150" s="58">
        <f>AP150*Table13[[#This Row],[Unconditional mortality NOW]]</f>
        <v>1.7825072252535241E-9</v>
      </c>
      <c r="AR150" s="60">
        <f>Table13[[#This Row],[cumulative debt until t]]*Table13[[#This Row],[Unconditional mortality NOW]]</f>
        <v>1.1870864672310612E-6</v>
      </c>
      <c r="AS150" s="58">
        <f>Table13[[#This Row],[lender to pay cumulative probablistic undiscounted]]/Table13[[#This Row],[lender discounter]]</f>
        <v>9.1516469037125094E-10</v>
      </c>
    </row>
    <row r="151" spans="1:45" s="3" customFormat="1">
      <c r="A151" s="3">
        <v>155</v>
      </c>
      <c r="B151" s="8">
        <v>3.2000000000000001E-2</v>
      </c>
      <c r="C151" s="3">
        <v>0</v>
      </c>
      <c r="D151" s="12">
        <v>3.2000000000000001E-2</v>
      </c>
      <c r="E151" s="66">
        <v>0.99999999989999999</v>
      </c>
      <c r="F151" s="13">
        <f>1-Table13[[#This Row],[one-year conditional mortality AT ISSUE]]</f>
        <v>1.000000082740371E-10</v>
      </c>
      <c r="G151" s="13">
        <f>PRODUCT(F$17:F151)</f>
        <v>0</v>
      </c>
      <c r="H151" s="13">
        <f>Table13[[#This Row],[one-year conditional survival AT ISSUE]]*(1-Table13[[#This Row],[Lapse rate]])</f>
        <v>9.6800008009267909E-11</v>
      </c>
      <c r="I151" s="13">
        <f>PRODUCT(H$17:H151)</f>
        <v>0</v>
      </c>
      <c r="J151" s="13">
        <f>G150*Table13[[#This Row],[one-year conditional mortality AT ISSUE]]</f>
        <v>0</v>
      </c>
      <c r="K151" s="10">
        <f>I150*Table13[[#This Row],[one-year conditional mortality AT ISSUE]]</f>
        <v>0</v>
      </c>
      <c r="L151" s="3">
        <f t="shared" si="4"/>
        <v>2.4615991981893799E-3</v>
      </c>
      <c r="M151" s="44">
        <v>1</v>
      </c>
      <c r="N151" s="44">
        <f>Table13[[#This Row],[one-year conditional mortality AT ISSUE]]/Table13[[#This Row],[one-year conditional persistency AT ISSUE]]</f>
        <v>10330577656.607809</v>
      </c>
      <c r="O151" s="4">
        <f>(1+$B$14)^(Table13[[#This Row],[age since issue]]-$A$17)</f>
        <v>100.46316873926504</v>
      </c>
      <c r="P151" s="5">
        <f>(Table13[[#This Row],[level premium unmarked-up]]*Table13[[#This Row],[unconditional persistency AT ISSUE]]-Table13[[#This Row],[Death benefit pay probability]])</f>
        <v>0</v>
      </c>
      <c r="Q151" s="4">
        <f>Table13[[#This Row],[Issuer profit with unmarked-up level premium]]/Table13[[#This Row],[Issuer discounter at issue]]</f>
        <v>0</v>
      </c>
      <c r="R151" s="4">
        <f>(Table13[[#This Row],[variable premium unmarked up]]*Table13[[#This Row],[unconditional persistency AT ISSUE]]-Table13[[#This Row],[Death benefit pay probability]])</f>
        <v>0</v>
      </c>
      <c r="S151" s="6">
        <f>Table13[[#This Row],[level premium unmarked-up]]*(1+$B$15)</f>
        <v>2.4615991981893799E-3</v>
      </c>
      <c r="T151" s="6">
        <f>MIN(Table13[[#This Row],[variable premium unmarked up]]*(1+$B$15),1)</f>
        <v>1</v>
      </c>
      <c r="U151" s="6">
        <f>Table13[[#This Row],[level premium marked up]]-Table13[[#This Row],[variable premium marked up]]</f>
        <v>-0.99753840080181067</v>
      </c>
      <c r="V151" s="6">
        <f>Table13[[#This Row],[additional cash]]+V150*(1+$D$2)</f>
        <v>-59.101959601897057</v>
      </c>
      <c r="W151" s="12">
        <v>0.19822000000000001</v>
      </c>
      <c r="X151" s="13">
        <f>1-Table13[[#This Row],[one-year conditional mortality NOW]]</f>
        <v>0.80177999999999994</v>
      </c>
      <c r="Y151" s="49">
        <f>PRODUCT(X$17:X151)</f>
        <v>2.6666604618008231E-8</v>
      </c>
      <c r="Z151" s="13">
        <f>Table13[[#This Row],[one-year conditional survival NOW]]*(1-Table13[[#This Row],[Lapse rate]])</f>
        <v>0.77612303999999988</v>
      </c>
      <c r="AA151" s="13">
        <f>PRODUCT(Z$17:Z151)</f>
        <v>2.9207340836649954E-9</v>
      </c>
      <c r="AB151" s="50">
        <f>Y150*Table13[[#This Row],[one-year conditional mortality NOW]]</f>
        <v>6.5926493145022229E-9</v>
      </c>
      <c r="AC151" s="14">
        <v>1.9699999999999999E-2</v>
      </c>
      <c r="AD151" s="28">
        <f>(1+Table13[[#This Row],[Yield curve now]])^(Table13[[#This Row],[age since issue]]-$B$11)</f>
        <v>3.7681181575637002</v>
      </c>
      <c r="AE151" s="46">
        <f t="shared" si="3"/>
        <v>181.35709912889783</v>
      </c>
      <c r="AF151" s="42">
        <f>1-Table13[[#This Row],[cumulative debt until t]]</f>
        <v>-180.35709912889783</v>
      </c>
      <c r="AG151" s="46">
        <f>Table13[[#This Row],[cumulative debt until t]]*Table13[[#This Row],[Unconditional mortality NOW]]/Table13[[#This Row],[discouter with yield curve]]</f>
        <v>3.1729996386983728E-7</v>
      </c>
      <c r="AH151" s="48">
        <f>Table13[[#This Row],[Unconditional mortality NOW]]/Table13[[#This Row],[discouter with yield curve]]</f>
        <v>1.7495866739923943E-9</v>
      </c>
      <c r="AI151" s="29">
        <f>Table13[[#This Row],[user profit (death benefit - debt)]]*Table13[[#This Row],[Unconditional mortality NOW]]/Table13[[#This Row],[discouter with yield curve]]</f>
        <v>-3.155503771958449E-7</v>
      </c>
      <c r="AJ151" s="29">
        <f>(1+$D$4)^(Table13[[#This Row],[age since issue]]-$B$11)</f>
        <v>1.9672222021325216</v>
      </c>
      <c r="AK151" s="57">
        <f>Table13[[#This Row],[level premium marked up]]*Table13[[#This Row],[unconditional survival NOW]]</f>
        <v>6.5642492546122279E-11</v>
      </c>
      <c r="AL151" s="62">
        <f>Table13[[#This Row],[cumulative debt until t]]*Table13[[#This Row],[Unconditional mortality NOW]]</f>
        <v>1.19562375525224E-6</v>
      </c>
      <c r="AM151" s="47">
        <f>Table13[[#This Row],[probablistic premium stream]]/Table13[[#This Row],[lender discounter]]</f>
        <v>3.3368112903038638E-11</v>
      </c>
      <c r="AN151" s="58">
        <f>Table13[[#This Row],[probablistic repay from borrower]]/Table13[[#This Row],[lender discounter]]</f>
        <v>6.0777260136457988E-7</v>
      </c>
      <c r="AO151" s="47">
        <f>(Table13[[#This Row],[probablistic repay from borrower]]-Table13[[#This Row],[probablistic premium stream]])/Table13[[#This Row],[lender discounter]]</f>
        <v>6.0773923325167682E-7</v>
      </c>
      <c r="AP151" s="46">
        <f>AP150*(1+$D$4)+ Table13[[#This Row],[level premium marked up]]</f>
        <v>0.2429338523194679</v>
      </c>
      <c r="AQ151" s="58">
        <f>AP151*Table13[[#This Row],[Unconditional mortality NOW]]</f>
        <v>1.6015776949633244E-9</v>
      </c>
      <c r="AR151" s="60">
        <f>Table13[[#This Row],[cumulative debt until t]]*Table13[[#This Row],[Unconditional mortality NOW]]</f>
        <v>1.19562375525224E-6</v>
      </c>
      <c r="AS151" s="58">
        <f>Table13[[#This Row],[lender to pay cumulative probablistic undiscounted]]/Table13[[#This Row],[lender discounter]]</f>
        <v>8.1413156745952302E-10</v>
      </c>
    </row>
    <row r="152" spans="1:45" s="3" customFormat="1">
      <c r="A152" s="3">
        <v>156</v>
      </c>
      <c r="B152" s="8">
        <v>3.2000000000000001E-2</v>
      </c>
      <c r="C152" s="3">
        <v>0</v>
      </c>
      <c r="D152" s="12">
        <v>3.2000000000000001E-2</v>
      </c>
      <c r="E152" s="66">
        <v>0.99999999989999999</v>
      </c>
      <c r="F152" s="13">
        <f>1-Table13[[#This Row],[one-year conditional mortality AT ISSUE]]</f>
        <v>1.000000082740371E-10</v>
      </c>
      <c r="G152" s="13">
        <f>PRODUCT(F$17:F152)</f>
        <v>0</v>
      </c>
      <c r="H152" s="13">
        <f>Table13[[#This Row],[one-year conditional survival AT ISSUE]]*(1-Table13[[#This Row],[Lapse rate]])</f>
        <v>9.6800008009267909E-11</v>
      </c>
      <c r="I152" s="13">
        <f>PRODUCT(H$17:H152)</f>
        <v>0</v>
      </c>
      <c r="J152" s="13">
        <f>G151*Table13[[#This Row],[one-year conditional mortality AT ISSUE]]</f>
        <v>0</v>
      </c>
      <c r="K152" s="10">
        <f>I151*Table13[[#This Row],[one-year conditional mortality AT ISSUE]]</f>
        <v>0</v>
      </c>
      <c r="L152" s="3">
        <f t="shared" si="4"/>
        <v>2.4615991981893799E-3</v>
      </c>
      <c r="M152" s="44">
        <v>1</v>
      </c>
      <c r="N152" s="44">
        <f>Table13[[#This Row],[one-year conditional mortality AT ISSUE]]/Table13[[#This Row],[one-year conditional persistency AT ISSUE]]</f>
        <v>10330577656.607809</v>
      </c>
      <c r="O152" s="4">
        <f>(1+$B$14)^(Table13[[#This Row],[age since issue]]-$A$17)</f>
        <v>103.97937964513932</v>
      </c>
      <c r="P152" s="5">
        <f>(Table13[[#This Row],[level premium unmarked-up]]*Table13[[#This Row],[unconditional persistency AT ISSUE]]-Table13[[#This Row],[Death benefit pay probability]])</f>
        <v>0</v>
      </c>
      <c r="Q152" s="4">
        <f>Table13[[#This Row],[Issuer profit with unmarked-up level premium]]/Table13[[#This Row],[Issuer discounter at issue]]</f>
        <v>0</v>
      </c>
      <c r="R152" s="4">
        <f>(Table13[[#This Row],[variable premium unmarked up]]*Table13[[#This Row],[unconditional persistency AT ISSUE]]-Table13[[#This Row],[Death benefit pay probability]])</f>
        <v>0</v>
      </c>
      <c r="S152" s="6">
        <f>Table13[[#This Row],[level premium unmarked-up]]*(1+$B$15)</f>
        <v>2.4615991981893799E-3</v>
      </c>
      <c r="T152" s="6">
        <f>MIN(Table13[[#This Row],[variable premium unmarked up]]*(1+$B$15),1)</f>
        <v>1</v>
      </c>
      <c r="U152" s="6">
        <f>Table13[[#This Row],[level premium marked up]]-Table13[[#This Row],[variable premium marked up]]</f>
        <v>-0.99753840080181067</v>
      </c>
      <c r="V152" s="6">
        <f>Table13[[#This Row],[additional cash]]+V151*(1+$D$2)</f>
        <v>-60.158599962300755</v>
      </c>
      <c r="W152" s="12">
        <v>0.21107999999999999</v>
      </c>
      <c r="X152" s="13">
        <f>1-Table13[[#This Row],[one-year conditional mortality NOW]]</f>
        <v>0.78892000000000007</v>
      </c>
      <c r="Y152" s="49">
        <f>PRODUCT(X$17:X152)</f>
        <v>2.1037817715239055E-8</v>
      </c>
      <c r="Z152" s="13">
        <f>Table13[[#This Row],[one-year conditional survival NOW]]*(1-Table13[[#This Row],[Lapse rate]])</f>
        <v>0.76367456</v>
      </c>
      <c r="AA152" s="13">
        <f>PRODUCT(Z$17:Z152)</f>
        <v>2.2304903162198686E-9</v>
      </c>
      <c r="AB152" s="50">
        <f>Y151*Table13[[#This Row],[one-year conditional mortality NOW]]</f>
        <v>5.6287869027691767E-9</v>
      </c>
      <c r="AC152" s="14">
        <v>1.9699999999999999E-2</v>
      </c>
      <c r="AD152" s="28">
        <f>(1+Table13[[#This Row],[Yield curve now]])^(Table13[[#This Row],[age since issue]]-$B$11)</f>
        <v>3.8423500852677051</v>
      </c>
      <c r="AE152" s="46">
        <f t="shared" si="3"/>
        <v>207.43098017777243</v>
      </c>
      <c r="AF152" s="42">
        <f>1-Table13[[#This Row],[cumulative debt until t]]</f>
        <v>-206.43098017777243</v>
      </c>
      <c r="AG152" s="46">
        <f>Table13[[#This Row],[cumulative debt until t]]*Table13[[#This Row],[Unconditional mortality NOW]]/Table13[[#This Row],[discouter with yield curve]]</f>
        <v>3.0387256719005342E-7</v>
      </c>
      <c r="AH152" s="48">
        <f>Table13[[#This Row],[Unconditional mortality NOW]]/Table13[[#This Row],[discouter with yield curve]]</f>
        <v>1.4649333813571563E-9</v>
      </c>
      <c r="AI152" s="29">
        <f>Table13[[#This Row],[user profit (death benefit - debt)]]*Table13[[#This Row],[Unconditional mortality NOW]]/Table13[[#This Row],[discouter with yield curve]]</f>
        <v>-3.0240763380869625E-7</v>
      </c>
      <c r="AJ152" s="29">
        <f>(1+$D$4)^(Table13[[#This Row],[age since issue]]-$B$11)</f>
        <v>1.9868944241538466</v>
      </c>
      <c r="AK152" s="57">
        <f>Table13[[#This Row],[level premium marked up]]*Table13[[#This Row],[unconditional survival NOW]]</f>
        <v>5.1786675219486788E-11</v>
      </c>
      <c r="AL152" s="62">
        <f>Table13[[#This Row],[cumulative debt until t]]*Table13[[#This Row],[Unconditional mortality NOW]]</f>
        <v>1.1675847844532182E-6</v>
      </c>
      <c r="AM152" s="47">
        <f>Table13[[#This Row],[probablistic premium stream]]/Table13[[#This Row],[lender discounter]]</f>
        <v>2.6064130328183412E-11</v>
      </c>
      <c r="AN152" s="58">
        <f>Table13[[#This Row],[probablistic repay from borrower]]/Table13[[#This Row],[lender discounter]]</f>
        <v>5.8764309278811051E-7</v>
      </c>
      <c r="AO152" s="47">
        <f>(Table13[[#This Row],[probablistic repay from borrower]]-Table13[[#This Row],[probablistic premium stream]])/Table13[[#This Row],[lender discounter]]</f>
        <v>5.8761702865778221E-7</v>
      </c>
      <c r="AP152" s="46">
        <f>AP151*(1+$D$4)+ Table13[[#This Row],[level premium marked up]]</f>
        <v>0.24782479004085198</v>
      </c>
      <c r="AQ152" s="58">
        <f>AP152*Table13[[#This Row],[Unconditional mortality NOW]]</f>
        <v>1.3949529323634687E-9</v>
      </c>
      <c r="AR152" s="60">
        <f>Table13[[#This Row],[cumulative debt until t]]*Table13[[#This Row],[Unconditional mortality NOW]]</f>
        <v>1.1675847844532182E-6</v>
      </c>
      <c r="AS152" s="58">
        <f>Table13[[#This Row],[lender to pay cumulative probablistic undiscounted]]/Table13[[#This Row],[lender discounter]]</f>
        <v>7.020770280522245E-10</v>
      </c>
    </row>
    <row r="153" spans="1:45" s="3" customFormat="1">
      <c r="A153" s="3">
        <v>157</v>
      </c>
      <c r="B153" s="8">
        <v>3.2000000000000001E-2</v>
      </c>
      <c r="C153" s="3">
        <v>0</v>
      </c>
      <c r="D153" s="12">
        <v>3.2000000000000001E-2</v>
      </c>
      <c r="E153" s="66">
        <v>0.99999999989999999</v>
      </c>
      <c r="F153" s="13">
        <f>1-Table13[[#This Row],[one-year conditional mortality AT ISSUE]]</f>
        <v>1.000000082740371E-10</v>
      </c>
      <c r="G153" s="13">
        <f>PRODUCT(F$17:F153)</f>
        <v>0</v>
      </c>
      <c r="H153" s="13">
        <f>Table13[[#This Row],[one-year conditional survival AT ISSUE]]*(1-Table13[[#This Row],[Lapse rate]])</f>
        <v>9.6800008009267909E-11</v>
      </c>
      <c r="I153" s="13">
        <f>PRODUCT(H$17:H153)</f>
        <v>0</v>
      </c>
      <c r="J153" s="13">
        <f>G152*Table13[[#This Row],[one-year conditional mortality AT ISSUE]]</f>
        <v>0</v>
      </c>
      <c r="K153" s="10">
        <f>I152*Table13[[#This Row],[one-year conditional mortality AT ISSUE]]</f>
        <v>0</v>
      </c>
      <c r="L153" s="3">
        <f t="shared" si="4"/>
        <v>2.4615991981893799E-3</v>
      </c>
      <c r="M153" s="44">
        <v>1</v>
      </c>
      <c r="N153" s="44">
        <f>Table13[[#This Row],[one-year conditional mortality AT ISSUE]]/Table13[[#This Row],[one-year conditional persistency AT ISSUE]]</f>
        <v>10330577656.607809</v>
      </c>
      <c r="O153" s="4">
        <f>(1+$B$14)^(Table13[[#This Row],[age since issue]]-$A$17)</f>
        <v>107.61865793271917</v>
      </c>
      <c r="P153" s="5">
        <f>(Table13[[#This Row],[level premium unmarked-up]]*Table13[[#This Row],[unconditional persistency AT ISSUE]]-Table13[[#This Row],[Death benefit pay probability]])</f>
        <v>0</v>
      </c>
      <c r="Q153" s="4">
        <f>Table13[[#This Row],[Issuer profit with unmarked-up level premium]]/Table13[[#This Row],[Issuer discounter at issue]]</f>
        <v>0</v>
      </c>
      <c r="R153" s="4">
        <f>(Table13[[#This Row],[variable premium unmarked up]]*Table13[[#This Row],[unconditional persistency AT ISSUE]]-Table13[[#This Row],[Death benefit pay probability]])</f>
        <v>0</v>
      </c>
      <c r="S153" s="6">
        <f>Table13[[#This Row],[level premium unmarked-up]]*(1+$B$15)</f>
        <v>2.4615991981893799E-3</v>
      </c>
      <c r="T153" s="6">
        <f>MIN(Table13[[#This Row],[variable premium unmarked up]]*(1+$B$15),1)</f>
        <v>1</v>
      </c>
      <c r="U153" s="6">
        <f>Table13[[#This Row],[level premium marked up]]-Table13[[#This Row],[variable premium marked up]]</f>
        <v>-0.99753840080181067</v>
      </c>
      <c r="V153" s="6">
        <f>Table13[[#This Row],[additional cash]]+V152*(1+$D$2)</f>
        <v>-61.216296963064856</v>
      </c>
      <c r="W153" s="12">
        <v>0.22778999999999999</v>
      </c>
      <c r="X153" s="13">
        <f>1-Table13[[#This Row],[one-year conditional mortality NOW]]</f>
        <v>0.77221000000000006</v>
      </c>
      <c r="Y153" s="49">
        <f>PRODUCT(X$17:X153)</f>
        <v>1.6245613217884751E-8</v>
      </c>
      <c r="Z153" s="13">
        <f>Table13[[#This Row],[one-year conditional survival NOW]]*(1-Table13[[#This Row],[Lapse rate]])</f>
        <v>0.74749927999999999</v>
      </c>
      <c r="AA153" s="13">
        <f>PRODUCT(Z$17:Z153)</f>
        <v>1.6672899054213241E-9</v>
      </c>
      <c r="AB153" s="50">
        <f>Y152*Table13[[#This Row],[one-year conditional mortality NOW]]</f>
        <v>4.792204497354304E-9</v>
      </c>
      <c r="AC153" s="14">
        <v>1.9699999999999999E-2</v>
      </c>
      <c r="AD153" s="28">
        <f>(1+Table13[[#This Row],[Yield curve now]])^(Table13[[#This Row],[age since issue]]-$B$11)</f>
        <v>3.9180443819474786</v>
      </c>
      <c r="AE153" s="46">
        <f t="shared" ref="AE153:AE197" si="5">(AE152+L152)*(1+$B$2)</f>
        <v>237.25312289411625</v>
      </c>
      <c r="AF153" s="42">
        <f>1-Table13[[#This Row],[cumulative debt until t]]</f>
        <v>-236.25312289411625</v>
      </c>
      <c r="AG153" s="46">
        <f>Table13[[#This Row],[cumulative debt until t]]*Table13[[#This Row],[Unconditional mortality NOW]]/Table13[[#This Row],[discouter with yield curve]]</f>
        <v>2.9018698404314764E-7</v>
      </c>
      <c r="AH153" s="48">
        <f>Table13[[#This Row],[Unconditional mortality NOW]]/Table13[[#This Row],[discouter with yield curve]]</f>
        <v>1.2231113357047581E-9</v>
      </c>
      <c r="AI153" s="29">
        <f>Table13[[#This Row],[user profit (death benefit - debt)]]*Table13[[#This Row],[Unconditional mortality NOW]]/Table13[[#This Row],[discouter with yield curve]]</f>
        <v>-2.8896387270744285E-7</v>
      </c>
      <c r="AJ153" s="29">
        <f>(1+$D$4)^(Table13[[#This Row],[age since issue]]-$B$11)</f>
        <v>2.0067633683953856</v>
      </c>
      <c r="AK153" s="57">
        <f>Table13[[#This Row],[level premium marked up]]*Table13[[#This Row],[unconditional survival NOW]]</f>
        <v>3.9990188471239897E-11</v>
      </c>
      <c r="AL153" s="62">
        <f>Table13[[#This Row],[cumulative debt until t]]*Table13[[#This Row],[Unconditional mortality NOW]]</f>
        <v>1.1369654825445372E-6</v>
      </c>
      <c r="AM153" s="47">
        <f>Table13[[#This Row],[probablistic premium stream]]/Table13[[#This Row],[lender discounter]]</f>
        <v>1.9927705030422287E-11</v>
      </c>
      <c r="AN153" s="58">
        <f>Table13[[#This Row],[probablistic repay from borrower]]/Table13[[#This Row],[lender discounter]]</f>
        <v>5.6656679130716763E-7</v>
      </c>
      <c r="AO153" s="47">
        <f>(Table13[[#This Row],[probablistic repay from borrower]]-Table13[[#This Row],[probablistic premium stream]])/Table13[[#This Row],[lender discounter]]</f>
        <v>5.6654686360213725E-7</v>
      </c>
      <c r="AP153" s="46">
        <f>AP152*(1+$D$4)+ Table13[[#This Row],[level premium marked up]]</f>
        <v>0.25276463713944991</v>
      </c>
      <c r="AQ153" s="58">
        <f>AP153*Table13[[#This Row],[Unconditional mortality NOW]]</f>
        <v>1.2112998308718006E-9</v>
      </c>
      <c r="AR153" s="60">
        <f>Table13[[#This Row],[cumulative debt until t]]*Table13[[#This Row],[Unconditional mortality NOW]]</f>
        <v>1.1369654825445372E-6</v>
      </c>
      <c r="AS153" s="58">
        <f>Table13[[#This Row],[lender to pay cumulative probablistic undiscounted]]/Table13[[#This Row],[lender discounter]]</f>
        <v>6.0360870142868903E-10</v>
      </c>
    </row>
    <row r="154" spans="1:45" s="3" customFormat="1">
      <c r="A154" s="3">
        <v>158</v>
      </c>
      <c r="B154" s="8">
        <v>3.2000000000000001E-2</v>
      </c>
      <c r="C154" s="3">
        <v>0</v>
      </c>
      <c r="D154" s="12">
        <v>3.2000000000000001E-2</v>
      </c>
      <c r="E154" s="66">
        <v>0.99999999989999999</v>
      </c>
      <c r="F154" s="13">
        <f>1-Table13[[#This Row],[one-year conditional mortality AT ISSUE]]</f>
        <v>1.000000082740371E-10</v>
      </c>
      <c r="G154" s="13">
        <f>PRODUCT(F$17:F154)</f>
        <v>0</v>
      </c>
      <c r="H154" s="13">
        <f>Table13[[#This Row],[one-year conditional survival AT ISSUE]]*(1-Table13[[#This Row],[Lapse rate]])</f>
        <v>9.6800008009267909E-11</v>
      </c>
      <c r="I154" s="13">
        <f>PRODUCT(H$17:H154)</f>
        <v>0</v>
      </c>
      <c r="J154" s="13">
        <f>G153*Table13[[#This Row],[one-year conditional mortality AT ISSUE]]</f>
        <v>0</v>
      </c>
      <c r="K154" s="10">
        <f>I153*Table13[[#This Row],[one-year conditional mortality AT ISSUE]]</f>
        <v>0</v>
      </c>
      <c r="L154" s="3">
        <f t="shared" si="4"/>
        <v>2.4615991981893799E-3</v>
      </c>
      <c r="M154" s="44">
        <v>1</v>
      </c>
      <c r="N154" s="44">
        <f>Table13[[#This Row],[one-year conditional mortality AT ISSUE]]/Table13[[#This Row],[one-year conditional persistency AT ISSUE]]</f>
        <v>10330577656.607809</v>
      </c>
      <c r="O154" s="4">
        <f>(1+$B$14)^(Table13[[#This Row],[age since issue]]-$A$17)</f>
        <v>111.38531096036432</v>
      </c>
      <c r="P154" s="5">
        <f>(Table13[[#This Row],[level premium unmarked-up]]*Table13[[#This Row],[unconditional persistency AT ISSUE]]-Table13[[#This Row],[Death benefit pay probability]])</f>
        <v>0</v>
      </c>
      <c r="Q154" s="4">
        <f>Table13[[#This Row],[Issuer profit with unmarked-up level premium]]/Table13[[#This Row],[Issuer discounter at issue]]</f>
        <v>0</v>
      </c>
      <c r="R154" s="4">
        <f>(Table13[[#This Row],[variable premium unmarked up]]*Table13[[#This Row],[unconditional persistency AT ISSUE]]-Table13[[#This Row],[Death benefit pay probability]])</f>
        <v>0</v>
      </c>
      <c r="S154" s="6">
        <f>Table13[[#This Row],[level premium unmarked-up]]*(1+$B$15)</f>
        <v>2.4615991981893799E-3</v>
      </c>
      <c r="T154" s="6">
        <f>MIN(Table13[[#This Row],[variable premium unmarked up]]*(1+$B$15),1)</f>
        <v>1</v>
      </c>
      <c r="U154" s="6">
        <f>Table13[[#This Row],[level premium marked up]]-Table13[[#This Row],[variable premium marked up]]</f>
        <v>-0.99753840080181067</v>
      </c>
      <c r="V154" s="6">
        <f>Table13[[#This Row],[additional cash]]+V153*(1+$D$2)</f>
        <v>-62.275051660829725</v>
      </c>
      <c r="W154" s="12">
        <v>0.24559</v>
      </c>
      <c r="X154" s="13">
        <f>1-Table13[[#This Row],[one-year conditional mortality NOW]]</f>
        <v>0.75441000000000003</v>
      </c>
      <c r="Y154" s="49">
        <f>PRODUCT(X$17:X154)</f>
        <v>1.2255853067704436E-8</v>
      </c>
      <c r="Z154" s="13">
        <f>Table13[[#This Row],[one-year conditional survival NOW]]*(1-Table13[[#This Row],[Lapse rate]])</f>
        <v>0.73026888000000001</v>
      </c>
      <c r="AA154" s="13">
        <f>PRODUCT(Z$17:Z154)</f>
        <v>1.2175699318673363E-9</v>
      </c>
      <c r="AB154" s="50">
        <f>Y153*Table13[[#This Row],[one-year conditional mortality NOW]]</f>
        <v>3.9897601501803164E-9</v>
      </c>
      <c r="AC154" s="14">
        <v>1.9699999999999999E-2</v>
      </c>
      <c r="AD154" s="28">
        <f>(1+Table13[[#This Row],[Yield curve now]])^(Table13[[#This Row],[age since issue]]-$B$11)</f>
        <v>3.9952298562718438</v>
      </c>
      <c r="AE154" s="46">
        <f t="shared" si="5"/>
        <v>271.36236020048057</v>
      </c>
      <c r="AF154" s="42">
        <f>1-Table13[[#This Row],[cumulative debt until t]]</f>
        <v>-270.36236020048057</v>
      </c>
      <c r="AG154" s="46">
        <f>Table13[[#This Row],[cumulative debt until t]]*Table13[[#This Row],[Unconditional mortality NOW]]/Table13[[#This Row],[discouter with yield curve]]</f>
        <v>2.7099084907146007E-7</v>
      </c>
      <c r="AH154" s="48">
        <f>Table13[[#This Row],[Unconditional mortality NOW]]/Table13[[#This Row],[discouter with yield curve]]</f>
        <v>9.9863094082485866E-10</v>
      </c>
      <c r="AI154" s="29">
        <f>Table13[[#This Row],[user profit (death benefit - debt)]]*Table13[[#This Row],[Unconditional mortality NOW]]/Table13[[#This Row],[discouter with yield curve]]</f>
        <v>-2.6999221813063524E-7</v>
      </c>
      <c r="AJ154" s="29">
        <f>(1+$D$4)^(Table13[[#This Row],[age since issue]]-$B$11)</f>
        <v>2.0268310020793385</v>
      </c>
      <c r="AK154" s="57">
        <f>Table13[[#This Row],[level premium marked up]]*Table13[[#This Row],[unconditional survival NOW]]</f>
        <v>3.0168998084588091E-11</v>
      </c>
      <c r="AL154" s="62">
        <f>Table13[[#This Row],[cumulative debt until t]]*Table13[[#This Row],[Unconditional mortality NOW]]</f>
        <v>1.0826707309867544E-6</v>
      </c>
      <c r="AM154" s="47">
        <f>Table13[[#This Row],[probablistic premium stream]]/Table13[[#This Row],[lender discounter]]</f>
        <v>1.4884811833664241E-11</v>
      </c>
      <c r="AN154" s="58">
        <f>Table13[[#This Row],[probablistic repay from borrower]]/Table13[[#This Row],[lender discounter]]</f>
        <v>5.3416921779666672E-7</v>
      </c>
      <c r="AO154" s="47">
        <f>(Table13[[#This Row],[probablistic repay from borrower]]-Table13[[#This Row],[probablistic premium stream]])/Table13[[#This Row],[lender discounter]]</f>
        <v>5.3415433298483308E-7</v>
      </c>
      <c r="AP154" s="46">
        <f>AP153*(1+$D$4)+ Table13[[#This Row],[level premium marked up]]</f>
        <v>0.25775388270903382</v>
      </c>
      <c r="AQ154" s="58">
        <f>AP154*Table13[[#This Row],[Unconditional mortality NOW]]</f>
        <v>1.0283761697867545E-9</v>
      </c>
      <c r="AR154" s="60">
        <f>Table13[[#This Row],[cumulative debt until t]]*Table13[[#This Row],[Unconditional mortality NOW]]</f>
        <v>1.0826707309867544E-6</v>
      </c>
      <c r="AS154" s="58">
        <f>Table13[[#This Row],[lender to pay cumulative probablistic undiscounted]]/Table13[[#This Row],[lender discounter]]</f>
        <v>5.0738131039624764E-10</v>
      </c>
    </row>
    <row r="155" spans="1:45" s="3" customFormat="1">
      <c r="A155" s="3">
        <v>159</v>
      </c>
      <c r="B155" s="8">
        <v>3.2000000000000001E-2</v>
      </c>
      <c r="C155" s="3">
        <v>0</v>
      </c>
      <c r="D155" s="12">
        <v>3.2000000000000001E-2</v>
      </c>
      <c r="E155" s="66">
        <v>0.99999999989999999</v>
      </c>
      <c r="F155" s="13">
        <f>1-Table13[[#This Row],[one-year conditional mortality AT ISSUE]]</f>
        <v>1.000000082740371E-10</v>
      </c>
      <c r="G155" s="13">
        <f>PRODUCT(F$17:F155)</f>
        <v>0</v>
      </c>
      <c r="H155" s="13">
        <f>Table13[[#This Row],[one-year conditional survival AT ISSUE]]*(1-Table13[[#This Row],[Lapse rate]])</f>
        <v>9.6800008009267909E-11</v>
      </c>
      <c r="I155" s="13">
        <f>PRODUCT(H$17:H155)</f>
        <v>0</v>
      </c>
      <c r="J155" s="13">
        <f>G154*Table13[[#This Row],[one-year conditional mortality AT ISSUE]]</f>
        <v>0</v>
      </c>
      <c r="K155" s="10">
        <f>I154*Table13[[#This Row],[one-year conditional mortality AT ISSUE]]</f>
        <v>0</v>
      </c>
      <c r="L155" s="3">
        <f t="shared" si="4"/>
        <v>2.4615991981893799E-3</v>
      </c>
      <c r="M155" s="44">
        <v>1</v>
      </c>
      <c r="N155" s="44">
        <f>Table13[[#This Row],[one-year conditional mortality AT ISSUE]]/Table13[[#This Row],[one-year conditional persistency AT ISSUE]]</f>
        <v>10330577656.607809</v>
      </c>
      <c r="O155" s="4">
        <f>(1+$B$14)^(Table13[[#This Row],[age since issue]]-$A$17)</f>
        <v>115.28379684397707</v>
      </c>
      <c r="P155" s="5">
        <f>(Table13[[#This Row],[level premium unmarked-up]]*Table13[[#This Row],[unconditional persistency AT ISSUE]]-Table13[[#This Row],[Death benefit pay probability]])</f>
        <v>0</v>
      </c>
      <c r="Q155" s="4">
        <f>Table13[[#This Row],[Issuer profit with unmarked-up level premium]]/Table13[[#This Row],[Issuer discounter at issue]]</f>
        <v>0</v>
      </c>
      <c r="R155" s="4">
        <f>(Table13[[#This Row],[variable premium unmarked up]]*Table13[[#This Row],[unconditional persistency AT ISSUE]]-Table13[[#This Row],[Death benefit pay probability]])</f>
        <v>0</v>
      </c>
      <c r="S155" s="6">
        <f>Table13[[#This Row],[level premium unmarked-up]]*(1+$B$15)</f>
        <v>2.4615991981893799E-3</v>
      </c>
      <c r="T155" s="6">
        <f>MIN(Table13[[#This Row],[variable premium unmarked up]]*(1+$B$15),1)</f>
        <v>1</v>
      </c>
      <c r="U155" s="6">
        <f>Table13[[#This Row],[level premium marked up]]-Table13[[#This Row],[variable premium marked up]]</f>
        <v>-0.99753840080181067</v>
      </c>
      <c r="V155" s="6">
        <f>Table13[[#This Row],[additional cash]]+V154*(1+$D$2)</f>
        <v>-63.334865113292359</v>
      </c>
      <c r="W155" s="12">
        <v>0.26495000000000002</v>
      </c>
      <c r="X155" s="13">
        <f>1-Table13[[#This Row],[one-year conditional mortality NOW]]</f>
        <v>0.73504999999999998</v>
      </c>
      <c r="Y155" s="49">
        <f>PRODUCT(X$17:X155)</f>
        <v>9.0086647974161447E-9</v>
      </c>
      <c r="Z155" s="13">
        <f>Table13[[#This Row],[one-year conditional survival NOW]]*(1-Table13[[#This Row],[Lapse rate]])</f>
        <v>0.71152839999999995</v>
      </c>
      <c r="AA155" s="13">
        <f>PRODUCT(Z$17:Z155)</f>
        <v>8.6633558550967479E-10</v>
      </c>
      <c r="AB155" s="50">
        <f>Y154*Table13[[#This Row],[one-year conditional mortality NOW]]</f>
        <v>3.2471882702882904E-9</v>
      </c>
      <c r="AC155" s="14">
        <v>1.9699999999999999E-2</v>
      </c>
      <c r="AD155" s="28">
        <f>(1+Table13[[#This Row],[Yield curve now]])^(Table13[[#This Row],[age since issue]]-$B$11)</f>
        <v>4.0739358844403997</v>
      </c>
      <c r="AE155" s="46">
        <f t="shared" si="5"/>
        <v>310.37498517139716</v>
      </c>
      <c r="AF155" s="42">
        <f>1-Table13[[#This Row],[cumulative debt until t]]</f>
        <v>-309.37498517139716</v>
      </c>
      <c r="AG155" s="46">
        <f>Table13[[#This Row],[cumulative debt until t]]*Table13[[#This Row],[Unconditional mortality NOW]]/Table13[[#This Row],[discouter with yield curve]]</f>
        <v>2.4738877582456153E-7</v>
      </c>
      <c r="AH155" s="48">
        <f>Table13[[#This Row],[Unconditional mortality NOW]]/Table13[[#This Row],[discouter with yield curve]]</f>
        <v>7.9706415672624843E-10</v>
      </c>
      <c r="AI155" s="29">
        <f>Table13[[#This Row],[user profit (death benefit - debt)]]*Table13[[#This Row],[Unconditional mortality NOW]]/Table13[[#This Row],[discouter with yield curve]]</f>
        <v>-2.4659171166783534E-7</v>
      </c>
      <c r="AJ155" s="29">
        <f>(1+$D$4)^(Table13[[#This Row],[age since issue]]-$B$11)</f>
        <v>2.0470993121001326</v>
      </c>
      <c r="AK155" s="57">
        <f>Table13[[#This Row],[level premium marked up]]*Table13[[#This Row],[unconditional survival NOW]]</f>
        <v>2.2175722042076474E-11</v>
      </c>
      <c r="AL155" s="62">
        <f>Table13[[#This Row],[cumulative debt until t]]*Table13[[#This Row],[Unconditional mortality NOW]]</f>
        <v>1.0078460112394628E-6</v>
      </c>
      <c r="AM155" s="47">
        <f>Table13[[#This Row],[probablistic premium stream]]/Table13[[#This Row],[lender discounter]]</f>
        <v>1.0832753404291976E-11</v>
      </c>
      <c r="AN155" s="58">
        <f>Table13[[#This Row],[probablistic repay from borrower]]/Table13[[#This Row],[lender discounter]]</f>
        <v>4.9232883098646887E-7</v>
      </c>
      <c r="AO155" s="47">
        <f>(Table13[[#This Row],[probablistic repay from borrower]]-Table13[[#This Row],[probablistic premium stream]])/Table13[[#This Row],[lender discounter]]</f>
        <v>4.923179982330645E-7</v>
      </c>
      <c r="AP155" s="46">
        <f>AP154*(1+$D$4)+ Table13[[#This Row],[level premium marked up]]</f>
        <v>0.26279302073431354</v>
      </c>
      <c r="AQ155" s="58">
        <f>AP155*Table13[[#This Row],[Unconditional mortality NOW]]</f>
        <v>8.533384144420904E-10</v>
      </c>
      <c r="AR155" s="60">
        <f>Table13[[#This Row],[cumulative debt until t]]*Table13[[#This Row],[Unconditional mortality NOW]]</f>
        <v>1.0078460112394628E-6</v>
      </c>
      <c r="AS155" s="58">
        <f>Table13[[#This Row],[lender to pay cumulative probablistic undiscounted]]/Table13[[#This Row],[lender discounter]]</f>
        <v>4.1685247481552076E-10</v>
      </c>
    </row>
    <row r="156" spans="1:45" s="3" customFormat="1">
      <c r="A156" s="3">
        <v>160</v>
      </c>
      <c r="B156" s="8">
        <v>3.2000000000000001E-2</v>
      </c>
      <c r="C156" s="3">
        <v>0</v>
      </c>
      <c r="D156" s="12">
        <v>3.2000000000000001E-2</v>
      </c>
      <c r="E156" s="66">
        <v>0.99999999989999999</v>
      </c>
      <c r="F156" s="13">
        <f>1-Table13[[#This Row],[one-year conditional mortality AT ISSUE]]</f>
        <v>1.000000082740371E-10</v>
      </c>
      <c r="G156" s="13">
        <f>PRODUCT(F$17:F156)</f>
        <v>0</v>
      </c>
      <c r="H156" s="13">
        <f>Table13[[#This Row],[one-year conditional survival AT ISSUE]]*(1-Table13[[#This Row],[Lapse rate]])</f>
        <v>9.6800008009267909E-11</v>
      </c>
      <c r="I156" s="13">
        <f>PRODUCT(H$17:H156)</f>
        <v>0</v>
      </c>
      <c r="J156" s="13">
        <f>G155*Table13[[#This Row],[one-year conditional mortality AT ISSUE]]</f>
        <v>0</v>
      </c>
      <c r="K156" s="10">
        <f>I155*Table13[[#This Row],[one-year conditional mortality AT ISSUE]]</f>
        <v>0</v>
      </c>
      <c r="L156" s="3">
        <f t="shared" si="4"/>
        <v>2.4615991981893799E-3</v>
      </c>
      <c r="M156" s="44">
        <v>1</v>
      </c>
      <c r="N156" s="44">
        <f>Table13[[#This Row],[one-year conditional mortality AT ISSUE]]/Table13[[#This Row],[one-year conditional persistency AT ISSUE]]</f>
        <v>10330577656.607809</v>
      </c>
      <c r="O156" s="4">
        <f>(1+$B$14)^(Table13[[#This Row],[age since issue]]-$A$17)</f>
        <v>119.31872973351628</v>
      </c>
      <c r="P156" s="5">
        <f>(Table13[[#This Row],[level premium unmarked-up]]*Table13[[#This Row],[unconditional persistency AT ISSUE]]-Table13[[#This Row],[Death benefit pay probability]])</f>
        <v>0</v>
      </c>
      <c r="Q156" s="4">
        <f>Table13[[#This Row],[Issuer profit with unmarked-up level premium]]/Table13[[#This Row],[Issuer discounter at issue]]</f>
        <v>0</v>
      </c>
      <c r="R156" s="4">
        <f>(Table13[[#This Row],[variable premium unmarked up]]*Table13[[#This Row],[unconditional persistency AT ISSUE]]-Table13[[#This Row],[Death benefit pay probability]])</f>
        <v>0</v>
      </c>
      <c r="S156" s="6">
        <f>Table13[[#This Row],[level premium unmarked-up]]*(1+$B$15)</f>
        <v>2.4615991981893799E-3</v>
      </c>
      <c r="T156" s="6">
        <f>MIN(Table13[[#This Row],[variable premium unmarked up]]*(1+$B$15),1)</f>
        <v>1</v>
      </c>
      <c r="U156" s="6">
        <f>Table13[[#This Row],[level premium marked up]]-Table13[[#This Row],[variable premium marked up]]</f>
        <v>-0.99753840080181067</v>
      </c>
      <c r="V156" s="6">
        <f>Table13[[#This Row],[additional cash]]+V155*(1+$D$2)</f>
        <v>-64.395738379207458</v>
      </c>
      <c r="W156" s="12">
        <v>0.28545999999999999</v>
      </c>
      <c r="X156" s="13">
        <f>1-Table13[[#This Row],[one-year conditional mortality NOW]]</f>
        <v>0.71453999999999995</v>
      </c>
      <c r="Y156" s="49">
        <f>PRODUCT(X$17:X156)</f>
        <v>6.4370513443457315E-9</v>
      </c>
      <c r="Z156" s="13">
        <f>Table13[[#This Row],[one-year conditional survival NOW]]*(1-Table13[[#This Row],[Lapse rate]])</f>
        <v>0.69167471999999997</v>
      </c>
      <c r="AA156" s="13">
        <f>PRODUCT(Z$17:Z156)</f>
        <v>5.9922242353344039E-10</v>
      </c>
      <c r="AB156" s="50">
        <f>Y155*Table13[[#This Row],[one-year conditional mortality NOW]]</f>
        <v>2.5716134530704128E-9</v>
      </c>
      <c r="AC156" s="14">
        <v>1.9699999999999999E-2</v>
      </c>
      <c r="AD156" s="28">
        <f>(1+Table13[[#This Row],[Yield curve now]])^(Table13[[#This Row],[age since issue]]-$B$11)</f>
        <v>4.1541924213638755</v>
      </c>
      <c r="AE156" s="46">
        <f t="shared" si="5"/>
        <v>354.99588634990005</v>
      </c>
      <c r="AF156" s="42">
        <f>1-Table13[[#This Row],[cumulative debt until t]]</f>
        <v>-353.99588634990005</v>
      </c>
      <c r="AG156" s="46">
        <f>Table13[[#This Row],[cumulative debt until t]]*Table13[[#This Row],[Unconditional mortality NOW]]/Table13[[#This Row],[discouter with yield curve]]</f>
        <v>2.197568394827357E-7</v>
      </c>
      <c r="AH156" s="48">
        <f>Table13[[#This Row],[Unconditional mortality NOW]]/Table13[[#This Row],[discouter with yield curve]]</f>
        <v>6.190405239404194E-10</v>
      </c>
      <c r="AI156" s="29">
        <f>Table13[[#This Row],[user profit (death benefit - debt)]]*Table13[[#This Row],[Unconditional mortality NOW]]/Table13[[#This Row],[discouter with yield curve]]</f>
        <v>-2.1913779895879526E-7</v>
      </c>
      <c r="AJ156" s="29">
        <f>(1+$D$4)^(Table13[[#This Row],[age since issue]]-$B$11)</f>
        <v>2.0675703052211341</v>
      </c>
      <c r="AK156" s="57">
        <f>Table13[[#This Row],[level premium marked up]]*Table13[[#This Row],[unconditional survival NOW]]</f>
        <v>1.5845440427945321E-11</v>
      </c>
      <c r="AL156" s="62">
        <f>Table13[[#This Row],[cumulative debt until t]]*Table13[[#This Row],[Unconditional mortality NOW]]</f>
        <v>9.1291219712205826E-7</v>
      </c>
      <c r="AM156" s="47">
        <f>Table13[[#This Row],[probablistic premium stream]]/Table13[[#This Row],[lender discounter]]</f>
        <v>7.6637976410918682E-12</v>
      </c>
      <c r="AN156" s="58">
        <f>Table13[[#This Row],[probablistic repay from borrower]]/Table13[[#This Row],[lender discounter]]</f>
        <v>4.4153864795636006E-7</v>
      </c>
      <c r="AO156" s="47">
        <f>(Table13[[#This Row],[probablistic repay from borrower]]-Table13[[#This Row],[probablistic premium stream]])/Table13[[#This Row],[lender discounter]]</f>
        <v>4.4153098415871903E-7</v>
      </c>
      <c r="AP156" s="46">
        <f>AP155*(1+$D$4)+ Table13[[#This Row],[level premium marked up]]</f>
        <v>0.26788255013984608</v>
      </c>
      <c r="AQ156" s="58">
        <f>AP156*Table13[[#This Row],[Unconditional mortality NOW]]</f>
        <v>6.8889036978243752E-10</v>
      </c>
      <c r="AR156" s="60">
        <f>Table13[[#This Row],[cumulative debt until t]]*Table13[[#This Row],[Unconditional mortality NOW]]</f>
        <v>9.1291219712205826E-7</v>
      </c>
      <c r="AS156" s="58">
        <f>Table13[[#This Row],[lender to pay cumulative probablistic undiscounted]]/Table13[[#This Row],[lender discounter]]</f>
        <v>3.3318836512732669E-10</v>
      </c>
    </row>
    <row r="157" spans="1:45" s="3" customFormat="1">
      <c r="A157" s="3">
        <v>161</v>
      </c>
      <c r="B157" s="8">
        <v>3.2000000000000001E-2</v>
      </c>
      <c r="C157" s="3">
        <v>0</v>
      </c>
      <c r="D157" s="12">
        <v>3.2000000000000001E-2</v>
      </c>
      <c r="E157" s="66">
        <v>0.99999999989999999</v>
      </c>
      <c r="F157" s="13">
        <f>1-Table13[[#This Row],[one-year conditional mortality AT ISSUE]]</f>
        <v>1.000000082740371E-10</v>
      </c>
      <c r="G157" s="13">
        <f>PRODUCT(F$17:F157)</f>
        <v>0</v>
      </c>
      <c r="H157" s="13">
        <f>Table13[[#This Row],[one-year conditional survival AT ISSUE]]*(1-Table13[[#This Row],[Lapse rate]])</f>
        <v>9.6800008009267909E-11</v>
      </c>
      <c r="I157" s="13">
        <f>PRODUCT(H$17:H157)</f>
        <v>0</v>
      </c>
      <c r="J157" s="13">
        <f>G156*Table13[[#This Row],[one-year conditional mortality AT ISSUE]]</f>
        <v>0</v>
      </c>
      <c r="K157" s="10">
        <f>I156*Table13[[#This Row],[one-year conditional mortality AT ISSUE]]</f>
        <v>0</v>
      </c>
      <c r="L157" s="3">
        <f t="shared" si="4"/>
        <v>2.4615991981893799E-3</v>
      </c>
      <c r="M157" s="44">
        <v>1</v>
      </c>
      <c r="N157" s="44">
        <f>Table13[[#This Row],[one-year conditional mortality AT ISSUE]]/Table13[[#This Row],[one-year conditional persistency AT ISSUE]]</f>
        <v>10330577656.607809</v>
      </c>
      <c r="O157" s="4">
        <f>(1+$B$14)^(Table13[[#This Row],[age since issue]]-$A$17)</f>
        <v>123.49488527418933</v>
      </c>
      <c r="P157" s="5">
        <f>(Table13[[#This Row],[level premium unmarked-up]]*Table13[[#This Row],[unconditional persistency AT ISSUE]]-Table13[[#This Row],[Death benefit pay probability]])</f>
        <v>0</v>
      </c>
      <c r="Q157" s="4">
        <f>Table13[[#This Row],[Issuer profit with unmarked-up level premium]]/Table13[[#This Row],[Issuer discounter at issue]]</f>
        <v>0</v>
      </c>
      <c r="R157" s="4">
        <f>(Table13[[#This Row],[variable premium unmarked up]]*Table13[[#This Row],[unconditional persistency AT ISSUE]]-Table13[[#This Row],[Death benefit pay probability]])</f>
        <v>0</v>
      </c>
      <c r="S157" s="6">
        <f>Table13[[#This Row],[level premium unmarked-up]]*(1+$B$15)</f>
        <v>2.4615991981893799E-3</v>
      </c>
      <c r="T157" s="6">
        <f>MIN(Table13[[#This Row],[variable premium unmarked up]]*(1+$B$15),1)</f>
        <v>1</v>
      </c>
      <c r="U157" s="6">
        <f>Table13[[#This Row],[level premium marked up]]-Table13[[#This Row],[variable premium marked up]]</f>
        <v>-0.99753840080181067</v>
      </c>
      <c r="V157" s="6">
        <f>Table13[[#This Row],[additional cash]]+V156*(1+$D$2)</f>
        <v>-65.457672518388478</v>
      </c>
      <c r="W157" s="12">
        <v>0.30669999999999997</v>
      </c>
      <c r="X157" s="13">
        <f>1-Table13[[#This Row],[one-year conditional mortality NOW]]</f>
        <v>0.69330000000000003</v>
      </c>
      <c r="Y157" s="49">
        <f>PRODUCT(X$17:X157)</f>
        <v>4.4628076970348957E-9</v>
      </c>
      <c r="Z157" s="13">
        <f>Table13[[#This Row],[one-year conditional survival NOW]]*(1-Table13[[#This Row],[Lapse rate]])</f>
        <v>0.6711144</v>
      </c>
      <c r="AA157" s="13">
        <f>PRODUCT(Z$17:Z157)</f>
        <v>4.021467972361907E-10</v>
      </c>
      <c r="AB157" s="50">
        <f>Y156*Table13[[#This Row],[one-year conditional mortality NOW]]</f>
        <v>1.9742436473108357E-9</v>
      </c>
      <c r="AC157" s="14">
        <v>1.9699999999999999E-2</v>
      </c>
      <c r="AD157" s="28">
        <f>(1+Table13[[#This Row],[Yield curve now]])^(Table13[[#This Row],[age since issue]]-$B$11)</f>
        <v>4.2360300120647443</v>
      </c>
      <c r="AE157" s="46">
        <f t="shared" si="5"/>
        <v>406.03128382612744</v>
      </c>
      <c r="AF157" s="42">
        <f>1-Table13[[#This Row],[cumulative debt until t]]</f>
        <v>-405.03128382612744</v>
      </c>
      <c r="AG157" s="46">
        <f>Table13[[#This Row],[cumulative debt until t]]*Table13[[#This Row],[Unconditional mortality NOW]]/Table13[[#This Row],[discouter with yield curve]]</f>
        <v>1.8923489220334237E-7</v>
      </c>
      <c r="AH157" s="48">
        <f>Table13[[#This Row],[Unconditional mortality NOW]]/Table13[[#This Row],[discouter with yield curve]]</f>
        <v>4.6605988193849955E-10</v>
      </c>
      <c r="AI157" s="29">
        <f>Table13[[#This Row],[user profit (death benefit - debt)]]*Table13[[#This Row],[Unconditional mortality NOW]]/Table13[[#This Row],[discouter with yield curve]]</f>
        <v>-1.8876883232140389E-7</v>
      </c>
      <c r="AJ157" s="29">
        <f>(1+$D$4)^(Table13[[#This Row],[age since issue]]-$B$11)</f>
        <v>2.0882460082733454</v>
      </c>
      <c r="AK157" s="57">
        <f>Table13[[#This Row],[level premium marked up]]*Table13[[#This Row],[unconditional survival NOW]]</f>
        <v>1.0985643848694492E-11</v>
      </c>
      <c r="AL157" s="62">
        <f>Table13[[#This Row],[cumulative debt until t]]*Table13[[#This Row],[Unconditional mortality NOW]]</f>
        <v>8.0160468270319502E-7</v>
      </c>
      <c r="AM157" s="47">
        <f>Table13[[#This Row],[probablistic premium stream]]/Table13[[#This Row],[lender discounter]]</f>
        <v>5.2607038659098939E-12</v>
      </c>
      <c r="AN157" s="58">
        <f>Table13[[#This Row],[probablistic repay from borrower]]/Table13[[#This Row],[lender discounter]]</f>
        <v>3.8386506164855421E-7</v>
      </c>
      <c r="AO157" s="47">
        <f>(Table13[[#This Row],[probablistic repay from borrower]]-Table13[[#This Row],[probablistic premium stream]])/Table13[[#This Row],[lender discounter]]</f>
        <v>3.8385980094468829E-7</v>
      </c>
      <c r="AP157" s="46">
        <f>AP156*(1+$D$4)+ Table13[[#This Row],[level premium marked up]]</f>
        <v>0.27302297483943394</v>
      </c>
      <c r="AQ157" s="58">
        <f>AP157*Table13[[#This Row],[Unconditional mortality NOW]]</f>
        <v>5.3901387364665857E-10</v>
      </c>
      <c r="AR157" s="60">
        <f>Table13[[#This Row],[cumulative debt until t]]*Table13[[#This Row],[Unconditional mortality NOW]]</f>
        <v>8.0160468270319502E-7</v>
      </c>
      <c r="AS157" s="58">
        <f>Table13[[#This Row],[lender to pay cumulative probablistic undiscounted]]/Table13[[#This Row],[lender discounter]]</f>
        <v>2.5811799544266301E-10</v>
      </c>
    </row>
    <row r="158" spans="1:45" s="3" customFormat="1">
      <c r="A158" s="3">
        <v>162</v>
      </c>
      <c r="B158" s="8">
        <v>3.2000000000000001E-2</v>
      </c>
      <c r="C158" s="3">
        <v>0</v>
      </c>
      <c r="D158" s="12">
        <v>3.2000000000000001E-2</v>
      </c>
      <c r="E158" s="66">
        <v>0.99999999989999999</v>
      </c>
      <c r="F158" s="13">
        <f>1-Table13[[#This Row],[one-year conditional mortality AT ISSUE]]</f>
        <v>1.000000082740371E-10</v>
      </c>
      <c r="G158" s="13">
        <f>PRODUCT(F$17:F158)</f>
        <v>0</v>
      </c>
      <c r="H158" s="13">
        <f>Table13[[#This Row],[one-year conditional survival AT ISSUE]]*(1-Table13[[#This Row],[Lapse rate]])</f>
        <v>9.6800008009267909E-11</v>
      </c>
      <c r="I158" s="13">
        <f>PRODUCT(H$17:H158)</f>
        <v>0</v>
      </c>
      <c r="J158" s="13">
        <f>G157*Table13[[#This Row],[one-year conditional mortality AT ISSUE]]</f>
        <v>0</v>
      </c>
      <c r="K158" s="10">
        <f>I157*Table13[[#This Row],[one-year conditional mortality AT ISSUE]]</f>
        <v>0</v>
      </c>
      <c r="L158" s="3">
        <f t="shared" si="4"/>
        <v>2.4615991981893799E-3</v>
      </c>
      <c r="M158" s="44">
        <v>1</v>
      </c>
      <c r="N158" s="44">
        <f>Table13[[#This Row],[one-year conditional mortality AT ISSUE]]/Table13[[#This Row],[one-year conditional persistency AT ISSUE]]</f>
        <v>10330577656.607809</v>
      </c>
      <c r="O158" s="4">
        <f>(1+$B$14)^(Table13[[#This Row],[age since issue]]-$A$17)</f>
        <v>127.81720625878593</v>
      </c>
      <c r="P158" s="5">
        <f>(Table13[[#This Row],[level premium unmarked-up]]*Table13[[#This Row],[unconditional persistency AT ISSUE]]-Table13[[#This Row],[Death benefit pay probability]])</f>
        <v>0</v>
      </c>
      <c r="Q158" s="4">
        <f>Table13[[#This Row],[Issuer profit with unmarked-up level premium]]/Table13[[#This Row],[Issuer discounter at issue]]</f>
        <v>0</v>
      </c>
      <c r="R158" s="4">
        <f>(Table13[[#This Row],[variable premium unmarked up]]*Table13[[#This Row],[unconditional persistency AT ISSUE]]-Table13[[#This Row],[Death benefit pay probability]])</f>
        <v>0</v>
      </c>
      <c r="S158" s="6">
        <f>Table13[[#This Row],[level premium unmarked-up]]*(1+$B$15)</f>
        <v>2.4615991981893799E-3</v>
      </c>
      <c r="T158" s="6">
        <f>MIN(Table13[[#This Row],[variable premium unmarked up]]*(1+$B$15),1)</f>
        <v>1</v>
      </c>
      <c r="U158" s="6">
        <f>Table13[[#This Row],[level premium marked up]]-Table13[[#This Row],[variable premium marked up]]</f>
        <v>-0.99753840080181067</v>
      </c>
      <c r="V158" s="6">
        <f>Table13[[#This Row],[additional cash]]+V157*(1+$D$2)</f>
        <v>-66.52066859170867</v>
      </c>
      <c r="W158" s="12">
        <v>0.32824999999999999</v>
      </c>
      <c r="X158" s="13">
        <f>1-Table13[[#This Row],[one-year conditional mortality NOW]]</f>
        <v>0.67175000000000007</v>
      </c>
      <c r="Y158" s="49">
        <f>PRODUCT(X$17:X158)</f>
        <v>2.9978910704831916E-9</v>
      </c>
      <c r="Z158" s="13">
        <f>Table13[[#This Row],[one-year conditional survival NOW]]*(1-Table13[[#This Row],[Lapse rate]])</f>
        <v>0.650254</v>
      </c>
      <c r="AA158" s="13">
        <f>PRODUCT(Z$17:Z158)</f>
        <v>2.6149756349002195E-10</v>
      </c>
      <c r="AB158" s="50">
        <f>Y157*Table13[[#This Row],[one-year conditional mortality NOW]]</f>
        <v>1.4649166265517045E-9</v>
      </c>
      <c r="AC158" s="14">
        <v>1.9699999999999999E-2</v>
      </c>
      <c r="AD158" s="28">
        <f>(1+Table13[[#This Row],[Yield curve now]])^(Table13[[#This Row],[age since issue]]-$B$11)</f>
        <v>4.3194798033024195</v>
      </c>
      <c r="AE158" s="46">
        <f t="shared" si="5"/>
        <v>464.40329619622599</v>
      </c>
      <c r="AF158" s="42">
        <f>1-Table13[[#This Row],[cumulative debt until t]]</f>
        <v>-463.40329619622599</v>
      </c>
      <c r="AG158" s="46">
        <f>Table13[[#This Row],[cumulative debt until t]]*Table13[[#This Row],[Unconditional mortality NOW]]/Table13[[#This Row],[discouter with yield curve]]</f>
        <v>1.5749862043645646E-7</v>
      </c>
      <c r="AH158" s="48">
        <f>Table13[[#This Row],[Unconditional mortality NOW]]/Table13[[#This Row],[discouter with yield curve]]</f>
        <v>3.3914190903999957E-10</v>
      </c>
      <c r="AI158" s="29">
        <f>Table13[[#This Row],[user profit (death benefit - debt)]]*Table13[[#This Row],[Unconditional mortality NOW]]/Table13[[#This Row],[discouter with yield curve]]</f>
        <v>-1.5715947852741644E-7</v>
      </c>
      <c r="AJ158" s="29">
        <f>(1+$D$4)^(Table13[[#This Row],[age since issue]]-$B$11)</f>
        <v>2.1091284683560785</v>
      </c>
      <c r="AK158" s="57">
        <f>Table13[[#This Row],[level premium marked up]]*Table13[[#This Row],[unconditional survival NOW]]</f>
        <v>7.3796062553605263E-12</v>
      </c>
      <c r="AL158" s="62">
        <f>Table13[[#This Row],[cumulative debt until t]]*Table13[[#This Row],[Unconditional mortality NOW]]</f>
        <v>6.8031211002326743E-7</v>
      </c>
      <c r="AM158" s="47">
        <f>Table13[[#This Row],[probablistic premium stream]]/Table13[[#This Row],[lender discounter]]</f>
        <v>3.4988889325989824E-12</v>
      </c>
      <c r="AN158" s="58">
        <f>Table13[[#This Row],[probablistic repay from borrower]]/Table13[[#This Row],[lender discounter]]</f>
        <v>3.2255603213849E-7</v>
      </c>
      <c r="AO158" s="47">
        <f>(Table13[[#This Row],[probablistic repay from borrower]]-Table13[[#This Row],[probablistic premium stream]])/Table13[[#This Row],[lender discounter]]</f>
        <v>3.2255253324955742E-7</v>
      </c>
      <c r="AP158" s="46">
        <f>AP157*(1+$D$4)+ Table13[[#This Row],[level premium marked up]]</f>
        <v>0.27821480378601765</v>
      </c>
      <c r="AQ158" s="58">
        <f>AP158*Table13[[#This Row],[Unconditional mortality NOW]]</f>
        <v>4.0756149181895735E-10</v>
      </c>
      <c r="AR158" s="60">
        <f>Table13[[#This Row],[cumulative debt until t]]*Table13[[#This Row],[Unconditional mortality NOW]]</f>
        <v>6.8031211002326743E-7</v>
      </c>
      <c r="AS158" s="58">
        <f>Table13[[#This Row],[lender to pay cumulative probablistic undiscounted]]/Table13[[#This Row],[lender discounter]]</f>
        <v>1.9323692128465919E-10</v>
      </c>
    </row>
    <row r="159" spans="1:45" s="3" customFormat="1">
      <c r="A159" s="3">
        <v>163</v>
      </c>
      <c r="B159" s="8">
        <v>3.2000000000000001E-2</v>
      </c>
      <c r="C159" s="3">
        <v>0</v>
      </c>
      <c r="D159" s="12">
        <v>3.2000000000000001E-2</v>
      </c>
      <c r="E159" s="66">
        <v>0.99999999989999999</v>
      </c>
      <c r="F159" s="13">
        <f>1-Table13[[#This Row],[one-year conditional mortality AT ISSUE]]</f>
        <v>1.000000082740371E-10</v>
      </c>
      <c r="G159" s="13">
        <f>PRODUCT(F$17:F159)</f>
        <v>0</v>
      </c>
      <c r="H159" s="13">
        <f>Table13[[#This Row],[one-year conditional survival AT ISSUE]]*(1-Table13[[#This Row],[Lapse rate]])</f>
        <v>9.6800008009267909E-11</v>
      </c>
      <c r="I159" s="13">
        <f>PRODUCT(H$17:H159)</f>
        <v>0</v>
      </c>
      <c r="J159" s="13">
        <f>G158*Table13[[#This Row],[one-year conditional mortality AT ISSUE]]</f>
        <v>0</v>
      </c>
      <c r="K159" s="10">
        <f>I158*Table13[[#This Row],[one-year conditional mortality AT ISSUE]]</f>
        <v>0</v>
      </c>
      <c r="L159" s="3">
        <f t="shared" si="4"/>
        <v>2.4615991981893799E-3</v>
      </c>
      <c r="M159" s="44">
        <v>1</v>
      </c>
      <c r="N159" s="44">
        <f>Table13[[#This Row],[one-year conditional mortality AT ISSUE]]/Table13[[#This Row],[one-year conditional persistency AT ISSUE]]</f>
        <v>10330577656.607809</v>
      </c>
      <c r="O159" s="4">
        <f>(1+$B$14)^(Table13[[#This Row],[age since issue]]-$A$17)</f>
        <v>132.29080847784346</v>
      </c>
      <c r="P159" s="5">
        <f>(Table13[[#This Row],[level premium unmarked-up]]*Table13[[#This Row],[unconditional persistency AT ISSUE]]-Table13[[#This Row],[Death benefit pay probability]])</f>
        <v>0</v>
      </c>
      <c r="Q159" s="4">
        <f>Table13[[#This Row],[Issuer profit with unmarked-up level premium]]/Table13[[#This Row],[Issuer discounter at issue]]</f>
        <v>0</v>
      </c>
      <c r="R159" s="4">
        <f>(Table13[[#This Row],[variable premium unmarked up]]*Table13[[#This Row],[unconditional persistency AT ISSUE]]-Table13[[#This Row],[Death benefit pay probability]])</f>
        <v>0</v>
      </c>
      <c r="S159" s="6">
        <f>Table13[[#This Row],[level premium unmarked-up]]*(1+$B$15)</f>
        <v>2.4615991981893799E-3</v>
      </c>
      <c r="T159" s="6">
        <f>MIN(Table13[[#This Row],[variable premium unmarked up]]*(1+$B$15),1)</f>
        <v>1</v>
      </c>
      <c r="U159" s="6">
        <f>Table13[[#This Row],[level premium marked up]]-Table13[[#This Row],[variable premium marked up]]</f>
        <v>-0.99753840080181067</v>
      </c>
      <c r="V159" s="6">
        <f>Table13[[#This Row],[additional cash]]+V158*(1+$D$2)</f>
        <v>-67.584727661102193</v>
      </c>
      <c r="W159" s="12">
        <v>0.35002</v>
      </c>
      <c r="X159" s="13">
        <f>1-Table13[[#This Row],[one-year conditional mortality NOW]]</f>
        <v>0.64998</v>
      </c>
      <c r="Y159" s="49">
        <f>PRODUCT(X$17:X159)</f>
        <v>1.948569237992665E-9</v>
      </c>
      <c r="Z159" s="13">
        <f>Table13[[#This Row],[one-year conditional survival NOW]]*(1-Table13[[#This Row],[Lapse rate]])</f>
        <v>0.62918063999999996</v>
      </c>
      <c r="AA159" s="13">
        <f>PRODUCT(Z$17:Z159)</f>
        <v>1.6452920435509264E-10</v>
      </c>
      <c r="AB159" s="50">
        <f>Y158*Table13[[#This Row],[one-year conditional mortality NOW]]</f>
        <v>1.0493218324905268E-9</v>
      </c>
      <c r="AC159" s="14">
        <v>1.9699999999999999E-2</v>
      </c>
      <c r="AD159" s="28">
        <f>(1+Table13[[#This Row],[Yield curve now]])^(Table13[[#This Row],[age since issue]]-$B$11)</f>
        <v>4.4045735554274783</v>
      </c>
      <c r="AE159" s="46">
        <f t="shared" si="5"/>
        <v>531.16660160052061</v>
      </c>
      <c r="AF159" s="42">
        <f>1-Table13[[#This Row],[cumulative debt until t]]</f>
        <v>-530.16660160052061</v>
      </c>
      <c r="AG159" s="46">
        <f>Table13[[#This Row],[cumulative debt until t]]*Table13[[#This Row],[Unconditional mortality NOW]]/Table13[[#This Row],[discouter with yield curve]]</f>
        <v>1.2654226447471141E-7</v>
      </c>
      <c r="AH159" s="48">
        <f>Table13[[#This Row],[Unconditional mortality NOW]]/Table13[[#This Row],[discouter with yield curve]]</f>
        <v>2.3823460302927937E-10</v>
      </c>
      <c r="AI159" s="29">
        <f>Table13[[#This Row],[user profit (death benefit - debt)]]*Table13[[#This Row],[Unconditional mortality NOW]]/Table13[[#This Row],[discouter with yield curve]]</f>
        <v>-1.2630402987168213E-7</v>
      </c>
      <c r="AJ159" s="29">
        <f>(1+$D$4)^(Table13[[#This Row],[age since issue]]-$B$11)</f>
        <v>2.1302197530396394</v>
      </c>
      <c r="AK159" s="57">
        <f>Table13[[#This Row],[level premium marked up]]*Table13[[#This Row],[unconditional survival NOW]]</f>
        <v>4.7965964738592351E-12</v>
      </c>
      <c r="AL159" s="62">
        <f>Table13[[#This Row],[cumulative debt until t]]*Table13[[#This Row],[Unconditional mortality NOW]]</f>
        <v>5.5736471174922388E-7</v>
      </c>
      <c r="AM159" s="47">
        <f>Table13[[#This Row],[probablistic premium stream]]/Table13[[#This Row],[lender discounter]]</f>
        <v>2.2516909192185017E-12</v>
      </c>
      <c r="AN159" s="58">
        <f>Table13[[#This Row],[probablistic repay from borrower]]/Table13[[#This Row],[lender discounter]]</f>
        <v>2.6164657939816424E-7</v>
      </c>
      <c r="AO159" s="47">
        <f>(Table13[[#This Row],[probablistic repay from borrower]]-Table13[[#This Row],[probablistic premium stream]])/Table13[[#This Row],[lender discounter]]</f>
        <v>2.6164432770724507E-7</v>
      </c>
      <c r="AP159" s="46">
        <f>AP158*(1+$D$4)+ Table13[[#This Row],[level premium marked up]]</f>
        <v>0.28345855102206724</v>
      </c>
      <c r="AQ159" s="58">
        <f>AP159*Table13[[#This Row],[Unconditional mortality NOW]]</f>
        <v>2.9743924619358508E-10</v>
      </c>
      <c r="AR159" s="60">
        <f>Table13[[#This Row],[cumulative debt until t]]*Table13[[#This Row],[Unconditional mortality NOW]]</f>
        <v>5.5736471174922388E-7</v>
      </c>
      <c r="AS159" s="58">
        <f>Table13[[#This Row],[lender to pay cumulative probablistic undiscounted]]/Table13[[#This Row],[lender discounter]]</f>
        <v>1.3962843306150223E-10</v>
      </c>
    </row>
    <row r="160" spans="1:45" s="3" customFormat="1">
      <c r="A160" s="3">
        <v>164</v>
      </c>
      <c r="B160" s="8">
        <v>3.2000000000000001E-2</v>
      </c>
      <c r="C160" s="3">
        <v>0</v>
      </c>
      <c r="D160" s="12">
        <v>3.2000000000000001E-2</v>
      </c>
      <c r="E160" s="66">
        <v>0.99999999989999999</v>
      </c>
      <c r="F160" s="13">
        <f>1-Table13[[#This Row],[one-year conditional mortality AT ISSUE]]</f>
        <v>1.000000082740371E-10</v>
      </c>
      <c r="G160" s="13">
        <f>PRODUCT(F$17:F160)</f>
        <v>0</v>
      </c>
      <c r="H160" s="13">
        <f>Table13[[#This Row],[one-year conditional survival AT ISSUE]]*(1-Table13[[#This Row],[Lapse rate]])</f>
        <v>9.6800008009267909E-11</v>
      </c>
      <c r="I160" s="13">
        <f>PRODUCT(H$17:H160)</f>
        <v>0</v>
      </c>
      <c r="J160" s="13">
        <f>G159*Table13[[#This Row],[one-year conditional mortality AT ISSUE]]</f>
        <v>0</v>
      </c>
      <c r="K160" s="10">
        <f>I159*Table13[[#This Row],[one-year conditional mortality AT ISSUE]]</f>
        <v>0</v>
      </c>
      <c r="L160" s="3">
        <f t="shared" si="4"/>
        <v>2.4615991981893799E-3</v>
      </c>
      <c r="M160" s="44">
        <v>1</v>
      </c>
      <c r="N160" s="44">
        <f>Table13[[#This Row],[one-year conditional mortality AT ISSUE]]/Table13[[#This Row],[one-year conditional persistency AT ISSUE]]</f>
        <v>10330577656.607809</v>
      </c>
      <c r="O160" s="4">
        <f>(1+$B$14)^(Table13[[#This Row],[age since issue]]-$A$17)</f>
        <v>136.92098677456795</v>
      </c>
      <c r="P160" s="5">
        <f>(Table13[[#This Row],[level premium unmarked-up]]*Table13[[#This Row],[unconditional persistency AT ISSUE]]-Table13[[#This Row],[Death benefit pay probability]])</f>
        <v>0</v>
      </c>
      <c r="Q160" s="4">
        <f>Table13[[#This Row],[Issuer profit with unmarked-up level premium]]/Table13[[#This Row],[Issuer discounter at issue]]</f>
        <v>0</v>
      </c>
      <c r="R160" s="4">
        <f>(Table13[[#This Row],[variable premium unmarked up]]*Table13[[#This Row],[unconditional persistency AT ISSUE]]-Table13[[#This Row],[Death benefit pay probability]])</f>
        <v>0</v>
      </c>
      <c r="S160" s="6">
        <f>Table13[[#This Row],[level premium unmarked-up]]*(1+$B$15)</f>
        <v>2.4615991981893799E-3</v>
      </c>
      <c r="T160" s="6">
        <f>MIN(Table13[[#This Row],[variable premium unmarked up]]*(1+$B$15),1)</f>
        <v>1</v>
      </c>
      <c r="U160" s="6">
        <f>Table13[[#This Row],[level premium marked up]]-Table13[[#This Row],[variable premium marked up]]</f>
        <v>-0.99753840080181067</v>
      </c>
      <c r="V160" s="6">
        <f>Table13[[#This Row],[additional cash]]+V159*(1+$D$2)</f>
        <v>-68.649850789565107</v>
      </c>
      <c r="W160" s="12">
        <v>0.37164999999999998</v>
      </c>
      <c r="X160" s="13">
        <f>1-Table13[[#This Row],[one-year conditional mortality NOW]]</f>
        <v>0.62834999999999996</v>
      </c>
      <c r="Y160" s="49">
        <f>PRODUCT(X$17:X160)</f>
        <v>1.224383480692691E-9</v>
      </c>
      <c r="Z160" s="13">
        <f>Table13[[#This Row],[one-year conditional survival NOW]]*(1-Table13[[#This Row],[Lapse rate]])</f>
        <v>0.60824279999999997</v>
      </c>
      <c r="AA160" s="13">
        <f>PRODUCT(Z$17:Z160)</f>
        <v>1.0007370393871374E-10</v>
      </c>
      <c r="AB160" s="50">
        <f>Y159*Table13[[#This Row],[one-year conditional mortality NOW]]</f>
        <v>7.241857572999739E-10</v>
      </c>
      <c r="AC160" s="14">
        <v>1.9699999999999999E-2</v>
      </c>
      <c r="AD160" s="28">
        <f>(1+Table13[[#This Row],[Yield curve now]])^(Table13[[#This Row],[age since issue]]-$B$11)</f>
        <v>4.4913436544693992</v>
      </c>
      <c r="AE160" s="46">
        <f t="shared" si="5"/>
        <v>607.52749387618974</v>
      </c>
      <c r="AF160" s="42">
        <f>1-Table13[[#This Row],[cumulative debt until t]]</f>
        <v>-606.52749387618974</v>
      </c>
      <c r="AG160" s="46">
        <f>Table13[[#This Row],[cumulative debt until t]]*Table13[[#This Row],[Unconditional mortality NOW]]/Table13[[#This Row],[discouter with yield curve]]</f>
        <v>9.7957936884983308E-8</v>
      </c>
      <c r="AH160" s="48">
        <f>Table13[[#This Row],[Unconditional mortality NOW]]/Table13[[#This Row],[discouter with yield curve]]</f>
        <v>1.6124033541261676E-10</v>
      </c>
      <c r="AI160" s="29">
        <f>Table13[[#This Row],[user profit (death benefit - debt)]]*Table13[[#This Row],[Unconditional mortality NOW]]/Table13[[#This Row],[discouter with yield curve]]</f>
        <v>-9.7796696549570707E-8</v>
      </c>
      <c r="AJ160" s="29">
        <f>(1+$D$4)^(Table13[[#This Row],[age since issue]]-$B$11)</f>
        <v>2.1515219505700358</v>
      </c>
      <c r="AK160" s="57">
        <f>Table13[[#This Row],[level premium marked up]]*Table13[[#This Row],[unconditional survival NOW]]</f>
        <v>3.0139413943494505E-12</v>
      </c>
      <c r="AL160" s="62">
        <f>Table13[[#This Row],[cumulative debt until t]]*Table13[[#This Row],[Unconditional mortality NOW]]</f>
        <v>4.399627582332837E-7</v>
      </c>
      <c r="AM160" s="47">
        <f>Table13[[#This Row],[probablistic premium stream]]/Table13[[#This Row],[lender discounter]]</f>
        <v>1.4008415733573718E-12</v>
      </c>
      <c r="AN160" s="58">
        <f>Table13[[#This Row],[probablistic repay from borrower]]/Table13[[#This Row],[lender discounter]]</f>
        <v>2.0448908648908629E-7</v>
      </c>
      <c r="AO160" s="47">
        <f>(Table13[[#This Row],[probablistic repay from borrower]]-Table13[[#This Row],[probablistic premium stream]])/Table13[[#This Row],[lender discounter]]</f>
        <v>2.0448768564751293E-7</v>
      </c>
      <c r="AP160" s="46">
        <f>AP159*(1+$D$4)+ Table13[[#This Row],[level premium marked up]]</f>
        <v>0.28875473573047733</v>
      </c>
      <c r="AQ160" s="58">
        <f>AP160*Table13[[#This Row],[Unconditional mortality NOW]]</f>
        <v>2.0911206696892957E-10</v>
      </c>
      <c r="AR160" s="60">
        <f>Table13[[#This Row],[cumulative debt until t]]*Table13[[#This Row],[Unconditional mortality NOW]]</f>
        <v>4.399627582332837E-7</v>
      </c>
      <c r="AS160" s="58">
        <f>Table13[[#This Row],[lender to pay cumulative probablistic undiscounted]]/Table13[[#This Row],[lender discounter]]</f>
        <v>9.7192625394096631E-11</v>
      </c>
    </row>
    <row r="161" spans="1:45" s="3" customFormat="1">
      <c r="A161" s="3">
        <v>165</v>
      </c>
      <c r="B161" s="8">
        <v>3.2000000000000001E-2</v>
      </c>
      <c r="C161" s="3">
        <v>0</v>
      </c>
      <c r="D161" s="12">
        <v>3.2000000000000001E-2</v>
      </c>
      <c r="E161" s="66">
        <v>0.99999999989999999</v>
      </c>
      <c r="F161" s="13">
        <f>1-Table13[[#This Row],[one-year conditional mortality AT ISSUE]]</f>
        <v>1.000000082740371E-10</v>
      </c>
      <c r="G161" s="13">
        <f>PRODUCT(F$17:F161)</f>
        <v>0</v>
      </c>
      <c r="H161" s="13">
        <f>Table13[[#This Row],[one-year conditional survival AT ISSUE]]*(1-Table13[[#This Row],[Lapse rate]])</f>
        <v>9.6800008009267909E-11</v>
      </c>
      <c r="I161" s="13">
        <f>PRODUCT(H$17:H161)</f>
        <v>0</v>
      </c>
      <c r="J161" s="13">
        <f>G160*Table13[[#This Row],[one-year conditional mortality AT ISSUE]]</f>
        <v>0</v>
      </c>
      <c r="K161" s="10">
        <f>I160*Table13[[#This Row],[one-year conditional mortality AT ISSUE]]</f>
        <v>0</v>
      </c>
      <c r="L161" s="3">
        <f t="shared" si="4"/>
        <v>2.4615991981893799E-3</v>
      </c>
      <c r="M161" s="44">
        <v>1</v>
      </c>
      <c r="N161" s="44">
        <f>Table13[[#This Row],[one-year conditional mortality AT ISSUE]]/Table13[[#This Row],[one-year conditional persistency AT ISSUE]]</f>
        <v>10330577656.607809</v>
      </c>
      <c r="O161" s="4">
        <f>(1+$B$14)^(Table13[[#This Row],[age since issue]]-$A$17)</f>
        <v>141.71322131167781</v>
      </c>
      <c r="P161" s="5">
        <f>(Table13[[#This Row],[level premium unmarked-up]]*Table13[[#This Row],[unconditional persistency AT ISSUE]]-Table13[[#This Row],[Death benefit pay probability]])</f>
        <v>0</v>
      </c>
      <c r="Q161" s="4">
        <f>Table13[[#This Row],[Issuer profit with unmarked-up level premium]]/Table13[[#This Row],[Issuer discounter at issue]]</f>
        <v>0</v>
      </c>
      <c r="R161" s="4">
        <f>(Table13[[#This Row],[variable premium unmarked up]]*Table13[[#This Row],[unconditional persistency AT ISSUE]]-Table13[[#This Row],[Death benefit pay probability]])</f>
        <v>0</v>
      </c>
      <c r="S161" s="6">
        <f>Table13[[#This Row],[level premium unmarked-up]]*(1+$B$15)</f>
        <v>2.4615991981893799E-3</v>
      </c>
      <c r="T161" s="6">
        <f>MIN(Table13[[#This Row],[variable premium unmarked up]]*(1+$B$15),1)</f>
        <v>1</v>
      </c>
      <c r="U161" s="6">
        <f>Table13[[#This Row],[level premium marked up]]-Table13[[#This Row],[variable premium marked up]]</f>
        <v>-0.99753840080181067</v>
      </c>
      <c r="V161" s="6">
        <f>Table13[[#This Row],[additional cash]]+V160*(1+$D$2)</f>
        <v>-69.716039041156478</v>
      </c>
      <c r="W161" s="12">
        <v>0.39278999999999997</v>
      </c>
      <c r="X161" s="13">
        <f>1-Table13[[#This Row],[one-year conditional mortality NOW]]</f>
        <v>0.60721000000000003</v>
      </c>
      <c r="Y161" s="49">
        <f>PRODUCT(X$17:X161)</f>
        <v>7.4345789331140897E-10</v>
      </c>
      <c r="Z161" s="13">
        <f>Table13[[#This Row],[one-year conditional survival NOW]]*(1-Table13[[#This Row],[Lapse rate]])</f>
        <v>0.58777928000000002</v>
      </c>
      <c r="AA161" s="13">
        <f>PRODUCT(Z$17:Z161)</f>
        <v>5.8821249648030327E-11</v>
      </c>
      <c r="AB161" s="50">
        <f>Y160*Table13[[#This Row],[one-year conditional mortality NOW]]</f>
        <v>4.8092558738128206E-10</v>
      </c>
      <c r="AC161" s="14">
        <v>1.9699999999999999E-2</v>
      </c>
      <c r="AD161" s="28">
        <f>(1+Table13[[#This Row],[Yield curve now]])^(Table13[[#This Row],[age since issue]]-$B$11)</f>
        <v>4.5798231244624468</v>
      </c>
      <c r="AE161" s="46">
        <f t="shared" si="5"/>
        <v>694.86567813513238</v>
      </c>
      <c r="AF161" s="42">
        <f>1-Table13[[#This Row],[cumulative debt until t]]</f>
        <v>-693.86567813513238</v>
      </c>
      <c r="AG161" s="46">
        <f>Table13[[#This Row],[cumulative debt until t]]*Table13[[#This Row],[Unconditional mortality NOW]]/Table13[[#This Row],[discouter with yield curve]]</f>
        <v>7.2967596198915522E-8</v>
      </c>
      <c r="AH161" s="48">
        <f>Table13[[#This Row],[Unconditional mortality NOW]]/Table13[[#This Row],[discouter with yield curve]]</f>
        <v>1.0500964214370841E-10</v>
      </c>
      <c r="AI161" s="29">
        <f>Table13[[#This Row],[user profit (death benefit - debt)]]*Table13[[#This Row],[Unconditional mortality NOW]]/Table13[[#This Row],[discouter with yield curve]]</f>
        <v>-7.2862586556771805E-8</v>
      </c>
      <c r="AJ161" s="29">
        <f>(1+$D$4)^(Table13[[#This Row],[age since issue]]-$B$11)</f>
        <v>2.1730371700757365</v>
      </c>
      <c r="AK161" s="57">
        <f>Table13[[#This Row],[level premium marked up]]*Table13[[#This Row],[unconditional survival NOW]]</f>
        <v>1.83009535406293E-12</v>
      </c>
      <c r="AL161" s="62">
        <f>Table13[[#This Row],[cumulative debt until t]]*Table13[[#This Row],[Unconditional mortality NOW]]</f>
        <v>3.3417868440823143E-7</v>
      </c>
      <c r="AM161" s="47">
        <f>Table13[[#This Row],[probablistic premium stream]]/Table13[[#This Row],[lender discounter]]</f>
        <v>8.4218317995874226E-13</v>
      </c>
      <c r="AN161" s="58">
        <f>Table13[[#This Row],[probablistic repay from borrower]]/Table13[[#This Row],[lender discounter]]</f>
        <v>1.5378415473518309E-7</v>
      </c>
      <c r="AO161" s="47">
        <f>(Table13[[#This Row],[probablistic repay from borrower]]-Table13[[#This Row],[probablistic premium stream]])/Table13[[#This Row],[lender discounter]]</f>
        <v>1.5378331255200313E-7</v>
      </c>
      <c r="AP161" s="46">
        <f>AP160*(1+$D$4)+ Table13[[#This Row],[level premium marked up]]</f>
        <v>0.29410388228597151</v>
      </c>
      <c r="AQ161" s="58">
        <f>AP161*Table13[[#This Row],[Unconditional mortality NOW]]</f>
        <v>1.4144208233949628E-10</v>
      </c>
      <c r="AR161" s="60">
        <f>Table13[[#This Row],[cumulative debt until t]]*Table13[[#This Row],[Unconditional mortality NOW]]</f>
        <v>3.3417868440823143E-7</v>
      </c>
      <c r="AS161" s="58">
        <f>Table13[[#This Row],[lender to pay cumulative probablistic undiscounted]]/Table13[[#This Row],[lender discounter]]</f>
        <v>6.5089582583884948E-11</v>
      </c>
    </row>
    <row r="162" spans="1:45" s="3" customFormat="1">
      <c r="A162" s="3">
        <v>166</v>
      </c>
      <c r="B162" s="8">
        <v>3.2000000000000001E-2</v>
      </c>
      <c r="C162" s="3">
        <v>0</v>
      </c>
      <c r="D162" s="12">
        <v>3.2000000000000001E-2</v>
      </c>
      <c r="E162" s="66">
        <v>0.99999999989999999</v>
      </c>
      <c r="F162" s="13">
        <f>1-Table13[[#This Row],[one-year conditional mortality AT ISSUE]]</f>
        <v>1.000000082740371E-10</v>
      </c>
      <c r="G162" s="13">
        <f>PRODUCT(F$17:F162)</f>
        <v>0</v>
      </c>
      <c r="H162" s="13">
        <f>Table13[[#This Row],[one-year conditional survival AT ISSUE]]*(1-Table13[[#This Row],[Lapse rate]])</f>
        <v>9.6800008009267909E-11</v>
      </c>
      <c r="I162" s="13">
        <f>PRODUCT(H$17:H162)</f>
        <v>0</v>
      </c>
      <c r="J162" s="13">
        <f>G161*Table13[[#This Row],[one-year conditional mortality AT ISSUE]]</f>
        <v>0</v>
      </c>
      <c r="K162" s="10">
        <f>I161*Table13[[#This Row],[one-year conditional mortality AT ISSUE]]</f>
        <v>0</v>
      </c>
      <c r="L162" s="3">
        <f t="shared" si="4"/>
        <v>2.4615991981893799E-3</v>
      </c>
      <c r="M162" s="44">
        <v>1</v>
      </c>
      <c r="N162" s="44">
        <f>Table13[[#This Row],[one-year conditional mortality AT ISSUE]]/Table13[[#This Row],[one-year conditional persistency AT ISSUE]]</f>
        <v>10330577656.607809</v>
      </c>
      <c r="O162" s="4">
        <f>(1+$B$14)^(Table13[[#This Row],[age since issue]]-$A$17)</f>
        <v>146.67318405758652</v>
      </c>
      <c r="P162" s="5">
        <f>(Table13[[#This Row],[level premium unmarked-up]]*Table13[[#This Row],[unconditional persistency AT ISSUE]]-Table13[[#This Row],[Death benefit pay probability]])</f>
        <v>0</v>
      </c>
      <c r="Q162" s="4">
        <f>Table13[[#This Row],[Issuer profit with unmarked-up level premium]]/Table13[[#This Row],[Issuer discounter at issue]]</f>
        <v>0</v>
      </c>
      <c r="R162" s="4">
        <f>(Table13[[#This Row],[variable premium unmarked up]]*Table13[[#This Row],[unconditional persistency AT ISSUE]]-Table13[[#This Row],[Death benefit pay probability]])</f>
        <v>0</v>
      </c>
      <c r="S162" s="6">
        <f>Table13[[#This Row],[level premium unmarked-up]]*(1+$B$15)</f>
        <v>2.4615991981893799E-3</v>
      </c>
      <c r="T162" s="6">
        <f>MIN(Table13[[#This Row],[variable premium unmarked up]]*(1+$B$15),1)</f>
        <v>1</v>
      </c>
      <c r="U162" s="6">
        <f>Table13[[#This Row],[level premium marked up]]-Table13[[#This Row],[variable premium marked up]]</f>
        <v>-0.99753840080181067</v>
      </c>
      <c r="V162" s="6">
        <f>Table13[[#This Row],[additional cash]]+V161*(1+$D$2)</f>
        <v>-70.783293480999447</v>
      </c>
      <c r="W162" s="12">
        <v>0.41304999999999997</v>
      </c>
      <c r="X162" s="13">
        <f>1-Table13[[#This Row],[one-year conditional mortality NOW]]</f>
        <v>0.58695000000000008</v>
      </c>
      <c r="Y162" s="49">
        <f>PRODUCT(X$17:X162)</f>
        <v>4.3637261047913156E-10</v>
      </c>
      <c r="Z162" s="13">
        <f>Table13[[#This Row],[one-year conditional survival NOW]]*(1-Table13[[#This Row],[Lapse rate]])</f>
        <v>0.56816760000000011</v>
      </c>
      <c r="AA162" s="13">
        <f>PRODUCT(Z$17:Z162)</f>
        <v>3.3420328241522245E-11</v>
      </c>
      <c r="AB162" s="50">
        <f>Y161*Table13[[#This Row],[one-year conditional mortality NOW]]</f>
        <v>3.0708528283227747E-10</v>
      </c>
      <c r="AC162" s="14">
        <v>1.9699999999999999E-2</v>
      </c>
      <c r="AD162" s="28">
        <f>(1+Table13[[#This Row],[Yield curve now]])^(Table13[[#This Row],[age since issue]]-$B$11)</f>
        <v>4.6700456400143562</v>
      </c>
      <c r="AE162" s="46">
        <f t="shared" si="5"/>
        <v>794.75919957424094</v>
      </c>
      <c r="AF162" s="42">
        <f>1-Table13[[#This Row],[cumulative debt until t]]</f>
        <v>-793.75919957424094</v>
      </c>
      <c r="AG162" s="46">
        <f>Table13[[#This Row],[cumulative debt until t]]*Table13[[#This Row],[Unconditional mortality NOW]]/Table13[[#This Row],[discouter with yield curve]]</f>
        <v>5.2260485742075095E-8</v>
      </c>
      <c r="AH162" s="48">
        <f>Table13[[#This Row],[Unconditional mortality NOW]]/Table13[[#This Row],[discouter with yield curve]]</f>
        <v>6.5756377239887842E-11</v>
      </c>
      <c r="AI162" s="29">
        <f>Table13[[#This Row],[user profit (death benefit - debt)]]*Table13[[#This Row],[Unconditional mortality NOW]]/Table13[[#This Row],[discouter with yield curve]]</f>
        <v>-5.2194729364835204E-8</v>
      </c>
      <c r="AJ162" s="29">
        <f>(1+$D$4)^(Table13[[#This Row],[age since issue]]-$B$11)</f>
        <v>2.1947675417764931</v>
      </c>
      <c r="AK162" s="57">
        <f>Table13[[#This Row],[level premium marked up]]*Table13[[#This Row],[unconditional survival NOW]]</f>
        <v>1.0741744680672369E-12</v>
      </c>
      <c r="AL162" s="62">
        <f>Table13[[#This Row],[cumulative debt until t]]*Table13[[#This Row],[Unconditional mortality NOW]]</f>
        <v>2.4405885358481023E-7</v>
      </c>
      <c r="AM162" s="47">
        <f>Table13[[#This Row],[probablistic premium stream]]/Table13[[#This Row],[lender discounter]]</f>
        <v>4.8942516581859803E-13</v>
      </c>
      <c r="AN162" s="58">
        <f>Table13[[#This Row],[probablistic repay from borrower]]/Table13[[#This Row],[lender discounter]]</f>
        <v>1.1120032027959718E-7</v>
      </c>
      <c r="AO162" s="47">
        <f>(Table13[[#This Row],[probablistic repay from borrower]]-Table13[[#This Row],[probablistic premium stream]])/Table13[[#This Row],[lender discounter]]</f>
        <v>1.1119983085443137E-7</v>
      </c>
      <c r="AP162" s="46">
        <f>AP161*(1+$D$4)+ Table13[[#This Row],[level premium marked up]]</f>
        <v>0.29950652030702063</v>
      </c>
      <c r="AQ162" s="58">
        <f>AP162*Table13[[#This Row],[Unconditional mortality NOW]]</f>
        <v>9.197404449859268E-11</v>
      </c>
      <c r="AR162" s="60">
        <f>Table13[[#This Row],[cumulative debt until t]]*Table13[[#This Row],[Unconditional mortality NOW]]</f>
        <v>2.4405885358481023E-7</v>
      </c>
      <c r="AS162" s="58">
        <f>Table13[[#This Row],[lender to pay cumulative probablistic undiscounted]]/Table13[[#This Row],[lender discounter]]</f>
        <v>4.1906052804183017E-11</v>
      </c>
    </row>
    <row r="163" spans="1:45" s="3" customFormat="1">
      <c r="A163" s="3">
        <v>167</v>
      </c>
      <c r="B163" s="8">
        <v>3.2000000000000001E-2</v>
      </c>
      <c r="C163" s="3">
        <v>0</v>
      </c>
      <c r="D163" s="12">
        <v>3.2000000000000001E-2</v>
      </c>
      <c r="E163" s="66">
        <v>0.99999999989999999</v>
      </c>
      <c r="F163" s="13">
        <f>1-Table13[[#This Row],[one-year conditional mortality AT ISSUE]]</f>
        <v>1.000000082740371E-10</v>
      </c>
      <c r="G163" s="13">
        <f>PRODUCT(F$17:F163)</f>
        <v>0</v>
      </c>
      <c r="H163" s="13">
        <f>Table13[[#This Row],[one-year conditional survival AT ISSUE]]*(1-Table13[[#This Row],[Lapse rate]])</f>
        <v>9.6800008009267909E-11</v>
      </c>
      <c r="I163" s="13">
        <f>PRODUCT(H$17:H163)</f>
        <v>0</v>
      </c>
      <c r="J163" s="13">
        <f>G162*Table13[[#This Row],[one-year conditional mortality AT ISSUE]]</f>
        <v>0</v>
      </c>
      <c r="K163" s="10">
        <f>I162*Table13[[#This Row],[one-year conditional mortality AT ISSUE]]</f>
        <v>0</v>
      </c>
      <c r="L163" s="3">
        <f t="shared" si="4"/>
        <v>2.4615991981893799E-3</v>
      </c>
      <c r="M163" s="44">
        <v>1</v>
      </c>
      <c r="N163" s="44">
        <f>Table13[[#This Row],[one-year conditional mortality AT ISSUE]]/Table13[[#This Row],[one-year conditional persistency AT ISSUE]]</f>
        <v>10330577656.607809</v>
      </c>
      <c r="O163" s="4">
        <f>(1+$B$14)^(Table13[[#This Row],[age since issue]]-$A$17)</f>
        <v>151.80674549960204</v>
      </c>
      <c r="P163" s="5">
        <f>(Table13[[#This Row],[level premium unmarked-up]]*Table13[[#This Row],[unconditional persistency AT ISSUE]]-Table13[[#This Row],[Death benefit pay probability]])</f>
        <v>0</v>
      </c>
      <c r="Q163" s="4">
        <f>Table13[[#This Row],[Issuer profit with unmarked-up level premium]]/Table13[[#This Row],[Issuer discounter at issue]]</f>
        <v>0</v>
      </c>
      <c r="R163" s="4">
        <f>(Table13[[#This Row],[variable premium unmarked up]]*Table13[[#This Row],[unconditional persistency AT ISSUE]]-Table13[[#This Row],[Death benefit pay probability]])</f>
        <v>0</v>
      </c>
      <c r="S163" s="6">
        <f>Table13[[#This Row],[level premium unmarked-up]]*(1+$B$15)</f>
        <v>2.4615991981893799E-3</v>
      </c>
      <c r="T163" s="6">
        <f>MIN(Table13[[#This Row],[variable premium unmarked up]]*(1+$B$15),1)</f>
        <v>1</v>
      </c>
      <c r="U163" s="6">
        <f>Table13[[#This Row],[level premium marked up]]-Table13[[#This Row],[variable premium marked up]]</f>
        <v>-0.99753840080181067</v>
      </c>
      <c r="V163" s="6">
        <f>Table13[[#This Row],[additional cash]]+V162*(1+$D$2)</f>
        <v>-71.851615175282248</v>
      </c>
      <c r="W163" s="12">
        <v>0.43208000000000002</v>
      </c>
      <c r="X163" s="13">
        <f>1-Table13[[#This Row],[one-year conditional mortality NOW]]</f>
        <v>0.56791999999999998</v>
      </c>
      <c r="Y163" s="49">
        <f>PRODUCT(X$17:X163)</f>
        <v>2.4782473294330839E-10</v>
      </c>
      <c r="Z163" s="13">
        <f>Table13[[#This Row],[one-year conditional survival NOW]]*(1-Table13[[#This Row],[Lapse rate]])</f>
        <v>0.54974656</v>
      </c>
      <c r="AA163" s="13">
        <f>PRODUCT(Z$17:Z163)</f>
        <v>1.8372710484847703E-11</v>
      </c>
      <c r="AB163" s="50">
        <f>Y162*Table13[[#This Row],[one-year conditional mortality NOW]]</f>
        <v>1.8854787753582317E-10</v>
      </c>
      <c r="AC163" s="14">
        <v>1.9699999999999999E-2</v>
      </c>
      <c r="AD163" s="28">
        <f>(1+Table13[[#This Row],[Yield curve now]])^(Table13[[#This Row],[age since issue]]-$B$11)</f>
        <v>4.7620455391226395</v>
      </c>
      <c r="AE163" s="46">
        <f t="shared" si="5"/>
        <v>909.01295593721352</v>
      </c>
      <c r="AF163" s="42">
        <f>1-Table13[[#This Row],[cumulative debt until t]]</f>
        <v>-908.01295593721352</v>
      </c>
      <c r="AG163" s="46">
        <f>Table13[[#This Row],[cumulative debt until t]]*Table13[[#This Row],[Unconditional mortality NOW]]/Table13[[#This Row],[discouter with yield curve]]</f>
        <v>3.5991353313707233E-8</v>
      </c>
      <c r="AH163" s="48">
        <f>Table13[[#This Row],[Unconditional mortality NOW]]/Table13[[#This Row],[discouter with yield curve]]</f>
        <v>3.9593883759994717E-11</v>
      </c>
      <c r="AI163" s="29">
        <f>Table13[[#This Row],[user profit (death benefit - debt)]]*Table13[[#This Row],[Unconditional mortality NOW]]/Table13[[#This Row],[discouter with yield curve]]</f>
        <v>-3.5951759429947236E-8</v>
      </c>
      <c r="AJ163" s="29">
        <f>(1+$D$4)^(Table13[[#This Row],[age since issue]]-$B$11)</f>
        <v>2.2167152171942588</v>
      </c>
      <c r="AK163" s="57">
        <f>Table13[[#This Row],[level premium marked up]]*Table13[[#This Row],[unconditional survival NOW]]</f>
        <v>6.1004516390474518E-13</v>
      </c>
      <c r="AL163" s="62">
        <f>Table13[[#This Row],[cumulative debt until t]]*Table13[[#This Row],[Unconditional mortality NOW]]</f>
        <v>1.7139246349452636E-7</v>
      </c>
      <c r="AM163" s="47">
        <f>Table13[[#This Row],[probablistic premium stream]]/Table13[[#This Row],[lender discounter]]</f>
        <v>2.7520231700168128E-13</v>
      </c>
      <c r="AN163" s="58">
        <f>Table13[[#This Row],[probablistic repay from borrower]]/Table13[[#This Row],[lender discounter]]</f>
        <v>7.7318214881684827E-8</v>
      </c>
      <c r="AO163" s="47">
        <f>(Table13[[#This Row],[probablistic repay from borrower]]-Table13[[#This Row],[probablistic premium stream]])/Table13[[#This Row],[lender discounter]]</f>
        <v>7.7317939679367839E-8</v>
      </c>
      <c r="AP163" s="46">
        <f>AP162*(1+$D$4)+ Table13[[#This Row],[level premium marked up]]</f>
        <v>0.30496318470828021</v>
      </c>
      <c r="AQ163" s="58">
        <f>AP163*Table13[[#This Row],[Unconditional mortality NOW]]</f>
        <v>5.7500161203311435E-11</v>
      </c>
      <c r="AR163" s="60">
        <f>Table13[[#This Row],[cumulative debt until t]]*Table13[[#This Row],[Unconditional mortality NOW]]</f>
        <v>1.7139246349452636E-7</v>
      </c>
      <c r="AS163" s="58">
        <f>Table13[[#This Row],[lender to pay cumulative probablistic undiscounted]]/Table13[[#This Row],[lender discounter]]</f>
        <v>2.593935421081764E-11</v>
      </c>
    </row>
    <row r="164" spans="1:45" s="3" customFormat="1">
      <c r="A164" s="3">
        <v>168</v>
      </c>
      <c r="B164" s="8">
        <v>3.2000000000000001E-2</v>
      </c>
      <c r="C164" s="3">
        <v>0</v>
      </c>
      <c r="D164" s="12">
        <v>3.2000000000000001E-2</v>
      </c>
      <c r="E164" s="66">
        <v>0.99999999989999999</v>
      </c>
      <c r="F164" s="13">
        <f>1-Table13[[#This Row],[one-year conditional mortality AT ISSUE]]</f>
        <v>1.000000082740371E-10</v>
      </c>
      <c r="G164" s="13">
        <f>PRODUCT(F$17:F164)</f>
        <v>0</v>
      </c>
      <c r="H164" s="13">
        <f>Table13[[#This Row],[one-year conditional survival AT ISSUE]]*(1-Table13[[#This Row],[Lapse rate]])</f>
        <v>9.6800008009267909E-11</v>
      </c>
      <c r="I164" s="13">
        <f>PRODUCT(H$17:H164)</f>
        <v>0</v>
      </c>
      <c r="J164" s="13">
        <f>G163*Table13[[#This Row],[one-year conditional mortality AT ISSUE]]</f>
        <v>0</v>
      </c>
      <c r="K164" s="10">
        <f>I163*Table13[[#This Row],[one-year conditional mortality AT ISSUE]]</f>
        <v>0</v>
      </c>
      <c r="L164" s="3">
        <f t="shared" si="4"/>
        <v>2.4615991981893799E-3</v>
      </c>
      <c r="M164" s="44">
        <v>1</v>
      </c>
      <c r="N164" s="44">
        <f>Table13[[#This Row],[one-year conditional mortality AT ISSUE]]/Table13[[#This Row],[one-year conditional persistency AT ISSUE]]</f>
        <v>10330577656.607809</v>
      </c>
      <c r="O164" s="4">
        <f>(1+$B$14)^(Table13[[#This Row],[age since issue]]-$A$17)</f>
        <v>157.1199815920881</v>
      </c>
      <c r="P164" s="5">
        <f>(Table13[[#This Row],[level premium unmarked-up]]*Table13[[#This Row],[unconditional persistency AT ISSUE]]-Table13[[#This Row],[Death benefit pay probability]])</f>
        <v>0</v>
      </c>
      <c r="Q164" s="4">
        <f>Table13[[#This Row],[Issuer profit with unmarked-up level premium]]/Table13[[#This Row],[Issuer discounter at issue]]</f>
        <v>0</v>
      </c>
      <c r="R164" s="4">
        <f>(Table13[[#This Row],[variable premium unmarked up]]*Table13[[#This Row],[unconditional persistency AT ISSUE]]-Table13[[#This Row],[Death benefit pay probability]])</f>
        <v>0</v>
      </c>
      <c r="S164" s="6">
        <f>Table13[[#This Row],[level premium unmarked-up]]*(1+$B$15)</f>
        <v>2.4615991981893799E-3</v>
      </c>
      <c r="T164" s="6">
        <f>MIN(Table13[[#This Row],[variable premium unmarked up]]*(1+$B$15),1)</f>
        <v>1</v>
      </c>
      <c r="U164" s="6">
        <f>Table13[[#This Row],[level premium marked up]]-Table13[[#This Row],[variable premium marked up]]</f>
        <v>-0.99753840080181067</v>
      </c>
      <c r="V164" s="6">
        <f>Table13[[#This Row],[additional cash]]+V163*(1+$D$2)</f>
        <v>-72.92100519125934</v>
      </c>
      <c r="W164" s="12">
        <v>0.44951000000000002</v>
      </c>
      <c r="X164" s="13">
        <f>1-Table13[[#This Row],[one-year conditional mortality NOW]]</f>
        <v>0.55048999999999992</v>
      </c>
      <c r="Y164" s="49">
        <f>PRODUCT(X$17:X164)</f>
        <v>1.3642503723796181E-10</v>
      </c>
      <c r="Z164" s="13">
        <f>Table13[[#This Row],[one-year conditional survival NOW]]*(1-Table13[[#This Row],[Lapse rate]])</f>
        <v>0.5328743199999999</v>
      </c>
      <c r="AA164" s="13">
        <f>PRODUCT(Z$17:Z164)</f>
        <v>9.7903456061700889E-12</v>
      </c>
      <c r="AB164" s="50">
        <f>Y163*Table13[[#This Row],[one-year conditional mortality NOW]]</f>
        <v>1.1139969570534656E-10</v>
      </c>
      <c r="AC164" s="14">
        <v>1.9699999999999999E-2</v>
      </c>
      <c r="AD164" s="28">
        <f>(1+Table13[[#This Row],[Yield curve now]])^(Table13[[#This Row],[age since issue]]-$B$11)</f>
        <v>4.8558578362433558</v>
      </c>
      <c r="AE164" s="46">
        <f t="shared" si="5"/>
        <v>1039.6913087972305</v>
      </c>
      <c r="AF164" s="42">
        <f>1-Table13[[#This Row],[cumulative debt until t]]</f>
        <v>-1038.6913087972305</v>
      </c>
      <c r="AG164" s="46">
        <f>Table13[[#This Row],[cumulative debt until t]]*Table13[[#This Row],[Unconditional mortality NOW]]/Table13[[#This Row],[discouter with yield curve]]</f>
        <v>2.3851871148910731E-8</v>
      </c>
      <c r="AH164" s="48">
        <f>Table13[[#This Row],[Unconditional mortality NOW]]/Table13[[#This Row],[discouter with yield curve]]</f>
        <v>2.2941300891034501E-11</v>
      </c>
      <c r="AI164" s="29">
        <f>Table13[[#This Row],[user profit (death benefit - debt)]]*Table13[[#This Row],[Unconditional mortality NOW]]/Table13[[#This Row],[discouter with yield curve]]</f>
        <v>-2.3828929848019696E-8</v>
      </c>
      <c r="AJ164" s="29">
        <f>(1+$D$4)^(Table13[[#This Row],[age since issue]]-$B$11)</f>
        <v>2.2388823693662014</v>
      </c>
      <c r="AK164" s="57">
        <f>Table13[[#This Row],[level premium marked up]]*Table13[[#This Row],[unconditional survival NOW]]</f>
        <v>3.3582376227792309E-13</v>
      </c>
      <c r="AL164" s="62">
        <f>Table13[[#This Row],[cumulative debt until t]]*Table13[[#This Row],[Unconditional mortality NOW]]</f>
        <v>1.1582129542750498E-7</v>
      </c>
      <c r="AM164" s="47">
        <f>Table13[[#This Row],[probablistic premium stream]]/Table13[[#This Row],[lender discounter]]</f>
        <v>1.4999616186757968E-13</v>
      </c>
      <c r="AN164" s="58">
        <f>Table13[[#This Row],[probablistic repay from borrower]]/Table13[[#This Row],[lender discounter]]</f>
        <v>5.1731746612615687E-8</v>
      </c>
      <c r="AO164" s="47">
        <f>(Table13[[#This Row],[probablistic repay from borrower]]-Table13[[#This Row],[probablistic premium stream]])/Table13[[#This Row],[lender discounter]]</f>
        <v>5.1731596616453824E-8</v>
      </c>
      <c r="AP164" s="46">
        <f>AP163*(1+$D$4)+ Table13[[#This Row],[level premium marked up]]</f>
        <v>0.31047441575355239</v>
      </c>
      <c r="AQ164" s="58">
        <f>AP164*Table13[[#This Row],[Unconditional mortality NOW]]</f>
        <v>3.4586755439240991E-11</v>
      </c>
      <c r="AR164" s="60">
        <f>Table13[[#This Row],[cumulative debt until t]]*Table13[[#This Row],[Unconditional mortality NOW]]</f>
        <v>1.1582129542750498E-7</v>
      </c>
      <c r="AS164" s="58">
        <f>Table13[[#This Row],[lender to pay cumulative probablistic undiscounted]]/Table13[[#This Row],[lender discounter]]</f>
        <v>1.5448223592484697E-11</v>
      </c>
    </row>
    <row r="165" spans="1:45" s="3" customFormat="1">
      <c r="A165" s="3">
        <v>169</v>
      </c>
      <c r="B165" s="8">
        <v>3.2000000000000001E-2</v>
      </c>
      <c r="C165" s="3">
        <v>0</v>
      </c>
      <c r="D165" s="12">
        <v>3.2000000000000001E-2</v>
      </c>
      <c r="E165" s="66">
        <v>0.99999999989999999</v>
      </c>
      <c r="F165" s="13">
        <f>1-Table13[[#This Row],[one-year conditional mortality AT ISSUE]]</f>
        <v>1.000000082740371E-10</v>
      </c>
      <c r="G165" s="13">
        <f>PRODUCT(F$17:F165)</f>
        <v>0</v>
      </c>
      <c r="H165" s="13">
        <f>Table13[[#This Row],[one-year conditional survival AT ISSUE]]*(1-Table13[[#This Row],[Lapse rate]])</f>
        <v>9.6800008009267909E-11</v>
      </c>
      <c r="I165" s="13">
        <f>PRODUCT(H$17:H165)</f>
        <v>0</v>
      </c>
      <c r="J165" s="13">
        <f>G164*Table13[[#This Row],[one-year conditional mortality AT ISSUE]]</f>
        <v>0</v>
      </c>
      <c r="K165" s="10">
        <f>I164*Table13[[#This Row],[one-year conditional mortality AT ISSUE]]</f>
        <v>0</v>
      </c>
      <c r="L165" s="3">
        <f t="shared" si="4"/>
        <v>2.4615991981893799E-3</v>
      </c>
      <c r="M165" s="44">
        <v>1</v>
      </c>
      <c r="N165" s="44">
        <f>Table13[[#This Row],[one-year conditional mortality AT ISSUE]]/Table13[[#This Row],[one-year conditional persistency AT ISSUE]]</f>
        <v>10330577656.607809</v>
      </c>
      <c r="O165" s="4">
        <f>(1+$B$14)^(Table13[[#This Row],[age since issue]]-$A$17)</f>
        <v>162.61918094781117</v>
      </c>
      <c r="P165" s="5">
        <f>(Table13[[#This Row],[level premium unmarked-up]]*Table13[[#This Row],[unconditional persistency AT ISSUE]]-Table13[[#This Row],[Death benefit pay probability]])</f>
        <v>0</v>
      </c>
      <c r="Q165" s="4">
        <f>Table13[[#This Row],[Issuer profit with unmarked-up level premium]]/Table13[[#This Row],[Issuer discounter at issue]]</f>
        <v>0</v>
      </c>
      <c r="R165" s="4">
        <f>(Table13[[#This Row],[variable premium unmarked up]]*Table13[[#This Row],[unconditional persistency AT ISSUE]]-Table13[[#This Row],[Death benefit pay probability]])</f>
        <v>0</v>
      </c>
      <c r="S165" s="6">
        <f>Table13[[#This Row],[level premium unmarked-up]]*(1+$B$15)</f>
        <v>2.4615991981893799E-3</v>
      </c>
      <c r="T165" s="6">
        <f>MIN(Table13[[#This Row],[variable premium unmarked up]]*(1+$B$15),1)</f>
        <v>1</v>
      </c>
      <c r="U165" s="6">
        <f>Table13[[#This Row],[level premium marked up]]-Table13[[#This Row],[variable premium marked up]]</f>
        <v>-0.99753840080181067</v>
      </c>
      <c r="V165" s="6">
        <f>Table13[[#This Row],[additional cash]]+V164*(1+$D$2)</f>
        <v>-73.991464597252403</v>
      </c>
      <c r="W165" s="12">
        <v>0.46498</v>
      </c>
      <c r="X165" s="13">
        <f>1-Table13[[#This Row],[one-year conditional mortality NOW]]</f>
        <v>0.53502000000000005</v>
      </c>
      <c r="Y165" s="49">
        <f>PRODUCT(X$17:X165)</f>
        <v>7.2990123423054336E-11</v>
      </c>
      <c r="Z165" s="13">
        <f>Table13[[#This Row],[one-year conditional survival NOW]]*(1-Table13[[#This Row],[Lapse rate]])</f>
        <v>0.51789936000000003</v>
      </c>
      <c r="AA165" s="13">
        <f>PRODUCT(Z$17:Z165)</f>
        <v>5.0704137236143018E-12</v>
      </c>
      <c r="AB165" s="50">
        <f>Y164*Table13[[#This Row],[one-year conditional mortality NOW]]</f>
        <v>6.3434913814907482E-11</v>
      </c>
      <c r="AC165" s="14">
        <v>1.9699999999999999E-2</v>
      </c>
      <c r="AD165" s="28">
        <f>(1+Table13[[#This Row],[Yield curve now]])^(Table13[[#This Row],[age since issue]]-$B$11)</f>
        <v>4.9515182356173497</v>
      </c>
      <c r="AE165" s="46">
        <f t="shared" si="5"/>
        <v>1189.1553828882015</v>
      </c>
      <c r="AF165" s="42">
        <f>1-Table13[[#This Row],[cumulative debt until t]]</f>
        <v>-1188.1553828882015</v>
      </c>
      <c r="AG165" s="46">
        <f>Table13[[#This Row],[cumulative debt until t]]*Table13[[#This Row],[Unconditional mortality NOW]]/Table13[[#This Row],[discouter with yield curve]]</f>
        <v>1.5234513059738604E-8</v>
      </c>
      <c r="AH165" s="48">
        <f>Table13[[#This Row],[Unconditional mortality NOW]]/Table13[[#This Row],[discouter with yield curve]]</f>
        <v>1.2811204724766299E-11</v>
      </c>
      <c r="AI165" s="29">
        <f>Table13[[#This Row],[user profit (death benefit - debt)]]*Table13[[#This Row],[Unconditional mortality NOW]]/Table13[[#This Row],[discouter with yield curve]]</f>
        <v>-1.522170185501384E-8</v>
      </c>
      <c r="AJ165" s="29">
        <f>(1+$D$4)^(Table13[[#This Row],[age since issue]]-$B$11)</f>
        <v>2.2612711930598639</v>
      </c>
      <c r="AK165" s="57">
        <f>Table13[[#This Row],[level premium marked up]]*Table13[[#This Row],[unconditional survival NOW]]</f>
        <v>1.7967242929393444E-13</v>
      </c>
      <c r="AL165" s="62">
        <f>Table13[[#This Row],[cumulative debt until t]]*Table13[[#This Row],[Unconditional mortality NOW]]</f>
        <v>7.5433969226046365E-8</v>
      </c>
      <c r="AM165" s="47">
        <f>Table13[[#This Row],[probablistic premium stream]]/Table13[[#This Row],[lender discounter]]</f>
        <v>7.9456382695438094E-14</v>
      </c>
      <c r="AN165" s="58">
        <f>Table13[[#This Row],[probablistic repay from borrower]]/Table13[[#This Row],[lender discounter]]</f>
        <v>3.3359098836779527E-8</v>
      </c>
      <c r="AO165" s="47">
        <f>(Table13[[#This Row],[probablistic repay from borrower]]-Table13[[#This Row],[probablistic premium stream]])/Table13[[#This Row],[lender discounter]]</f>
        <v>3.3359019380396836E-8</v>
      </c>
      <c r="AP165" s="46">
        <f>AP164*(1+$D$4)+ Table13[[#This Row],[level premium marked up]]</f>
        <v>0.31604075910927731</v>
      </c>
      <c r="AQ165" s="58">
        <f>AP165*Table13[[#This Row],[Unconditional mortality NOW]]</f>
        <v>2.0048018316094942E-11</v>
      </c>
      <c r="AR165" s="60">
        <f>Table13[[#This Row],[cumulative debt until t]]*Table13[[#This Row],[Unconditional mortality NOW]]</f>
        <v>7.5433969226046365E-8</v>
      </c>
      <c r="AS165" s="58">
        <f>Table13[[#This Row],[lender to pay cumulative probablistic undiscounted]]/Table13[[#This Row],[lender discounter]]</f>
        <v>8.8658177655227391E-12</v>
      </c>
    </row>
    <row r="166" spans="1:45" s="3" customFormat="1">
      <c r="A166" s="3">
        <v>170</v>
      </c>
      <c r="B166" s="8">
        <v>3.2000000000000001E-2</v>
      </c>
      <c r="C166" s="3">
        <v>0</v>
      </c>
      <c r="D166" s="12">
        <v>3.2000000000000001E-2</v>
      </c>
      <c r="E166" s="66">
        <v>0.99999999989999999</v>
      </c>
      <c r="F166" s="13">
        <f>1-Table13[[#This Row],[one-year conditional mortality AT ISSUE]]</f>
        <v>1.000000082740371E-10</v>
      </c>
      <c r="G166" s="13">
        <f>PRODUCT(F$17:F166)</f>
        <v>0</v>
      </c>
      <c r="H166" s="13">
        <f>Table13[[#This Row],[one-year conditional survival AT ISSUE]]*(1-Table13[[#This Row],[Lapse rate]])</f>
        <v>9.6800008009267909E-11</v>
      </c>
      <c r="I166" s="13">
        <f>PRODUCT(H$17:H166)</f>
        <v>0</v>
      </c>
      <c r="J166" s="13">
        <f>G165*Table13[[#This Row],[one-year conditional mortality AT ISSUE]]</f>
        <v>0</v>
      </c>
      <c r="K166" s="10">
        <f>I165*Table13[[#This Row],[one-year conditional mortality AT ISSUE]]</f>
        <v>0</v>
      </c>
      <c r="L166" s="3">
        <f t="shared" si="4"/>
        <v>2.4615991981893799E-3</v>
      </c>
      <c r="M166" s="44">
        <v>1</v>
      </c>
      <c r="N166" s="44">
        <f>Table13[[#This Row],[one-year conditional mortality AT ISSUE]]/Table13[[#This Row],[one-year conditional persistency AT ISSUE]]</f>
        <v>10330577656.607809</v>
      </c>
      <c r="O166" s="4">
        <f>(1+$B$14)^(Table13[[#This Row],[age since issue]]-$A$17)</f>
        <v>168.31085228098453</v>
      </c>
      <c r="P166" s="5">
        <f>(Table13[[#This Row],[level premium unmarked-up]]*Table13[[#This Row],[unconditional persistency AT ISSUE]]-Table13[[#This Row],[Death benefit pay probability]])</f>
        <v>0</v>
      </c>
      <c r="Q166" s="4">
        <f>Table13[[#This Row],[Issuer profit with unmarked-up level premium]]/Table13[[#This Row],[Issuer discounter at issue]]</f>
        <v>0</v>
      </c>
      <c r="R166" s="4">
        <f>(Table13[[#This Row],[variable premium unmarked up]]*Table13[[#This Row],[unconditional persistency AT ISSUE]]-Table13[[#This Row],[Death benefit pay probability]])</f>
        <v>0</v>
      </c>
      <c r="S166" s="6">
        <f>Table13[[#This Row],[level premium unmarked-up]]*(1+$B$15)</f>
        <v>2.4615991981893799E-3</v>
      </c>
      <c r="T166" s="6">
        <f>MIN(Table13[[#This Row],[variable premium unmarked up]]*(1+$B$15),1)</f>
        <v>1</v>
      </c>
      <c r="U166" s="6">
        <f>Table13[[#This Row],[level premium marked up]]-Table13[[#This Row],[variable premium marked up]]</f>
        <v>-0.99753840080181067</v>
      </c>
      <c r="V166" s="6">
        <f>Table13[[#This Row],[additional cash]]+V165*(1+$D$2)</f>
        <v>-75.06299446265146</v>
      </c>
      <c r="W166" s="12">
        <v>0.47811999999999999</v>
      </c>
      <c r="X166" s="13">
        <f>1-Table13[[#This Row],[one-year conditional mortality NOW]]</f>
        <v>0.52188000000000001</v>
      </c>
      <c r="Y166" s="49">
        <f>PRODUCT(X$17:X166)</f>
        <v>3.8092085612023597E-11</v>
      </c>
      <c r="Z166" s="13">
        <f>Table13[[#This Row],[one-year conditional survival NOW]]*(1-Table13[[#This Row],[Lapse rate]])</f>
        <v>0.50517984000000005</v>
      </c>
      <c r="AA166" s="13">
        <f>PRODUCT(Z$17:Z166)</f>
        <v>2.5614707936292775E-12</v>
      </c>
      <c r="AB166" s="50">
        <f>Y165*Table13[[#This Row],[one-year conditional mortality NOW]]</f>
        <v>3.489803781103074E-11</v>
      </c>
      <c r="AC166" s="14">
        <v>1.9699999999999999E-2</v>
      </c>
      <c r="AD166" s="28">
        <f>(1+Table13[[#This Row],[Yield curve now]])^(Table13[[#This Row],[age since issue]]-$B$11)</f>
        <v>5.0490631448590122</v>
      </c>
      <c r="AE166" s="46">
        <f t="shared" si="5"/>
        <v>1360.1057274169655</v>
      </c>
      <c r="AF166" s="42">
        <f>1-Table13[[#This Row],[cumulative debt until t]]</f>
        <v>-1359.1057274169655</v>
      </c>
      <c r="AG166" s="46">
        <f>Table13[[#This Row],[cumulative debt until t]]*Table13[[#This Row],[Unconditional mortality NOW]]/Table13[[#This Row],[discouter with yield curve]]</f>
        <v>9.400758069489764E-9</v>
      </c>
      <c r="AH166" s="48">
        <f>Table13[[#This Row],[Unconditional mortality NOW]]/Table13[[#This Row],[discouter with yield curve]]</f>
        <v>6.9117847826015287E-12</v>
      </c>
      <c r="AI166" s="29">
        <f>Table13[[#This Row],[user profit (death benefit - debt)]]*Table13[[#This Row],[Unconditional mortality NOW]]/Table13[[#This Row],[discouter with yield curve]]</f>
        <v>-9.3938462847071628E-9</v>
      </c>
      <c r="AJ166" s="29">
        <f>(1+$D$4)^(Table13[[#This Row],[age since issue]]-$B$11)</f>
        <v>2.283883904990462</v>
      </c>
      <c r="AK166" s="57">
        <f>Table13[[#This Row],[level premium marked up]]*Table13[[#This Row],[unconditional survival NOW]]</f>
        <v>9.3767447399918501E-14</v>
      </c>
      <c r="AL166" s="62">
        <f>Table13[[#This Row],[cumulative debt until t]]*Table13[[#This Row],[Unconditional mortality NOW]]</f>
        <v>4.7465021102396726E-8</v>
      </c>
      <c r="AM166" s="47">
        <f>Table13[[#This Row],[probablistic premium stream]]/Table13[[#This Row],[lender discounter]]</f>
        <v>4.1056135644648756E-14</v>
      </c>
      <c r="AN166" s="58">
        <f>Table13[[#This Row],[probablistic repay from borrower]]/Table13[[#This Row],[lender discounter]]</f>
        <v>2.0782589254507202E-8</v>
      </c>
      <c r="AO166" s="47">
        <f>(Table13[[#This Row],[probablistic repay from borrower]]-Table13[[#This Row],[probablistic premium stream]])/Table13[[#This Row],[lender discounter]]</f>
        <v>2.0782548198371559E-8</v>
      </c>
      <c r="AP166" s="46">
        <f>AP165*(1+$D$4)+ Table13[[#This Row],[level premium marked up]]</f>
        <v>0.32166276589855947</v>
      </c>
      <c r="AQ166" s="58">
        <f>AP166*Table13[[#This Row],[Unconditional mortality NOW]]</f>
        <v>1.1225399366728658E-11</v>
      </c>
      <c r="AR166" s="60">
        <f>Table13[[#This Row],[cumulative debt until t]]*Table13[[#This Row],[Unconditional mortality NOW]]</f>
        <v>4.7465021102396726E-8</v>
      </c>
      <c r="AS166" s="58">
        <f>Table13[[#This Row],[lender to pay cumulative probablistic undiscounted]]/Table13[[#This Row],[lender discounter]]</f>
        <v>4.9150481520537435E-12</v>
      </c>
    </row>
    <row r="167" spans="1:45" s="3" customFormat="1">
      <c r="A167" s="3">
        <v>171</v>
      </c>
      <c r="B167" s="8">
        <v>3.2000000000000001E-2</v>
      </c>
      <c r="C167" s="3">
        <v>0</v>
      </c>
      <c r="D167" s="12">
        <v>3.2000000000000001E-2</v>
      </c>
      <c r="E167" s="66">
        <v>0.99999999989999999</v>
      </c>
      <c r="F167" s="13">
        <f>1-Table13[[#This Row],[one-year conditional mortality AT ISSUE]]</f>
        <v>1.000000082740371E-10</v>
      </c>
      <c r="G167" s="13">
        <f>PRODUCT(F$17:F167)</f>
        <v>0</v>
      </c>
      <c r="H167" s="13">
        <f>Table13[[#This Row],[one-year conditional survival AT ISSUE]]*(1-Table13[[#This Row],[Lapse rate]])</f>
        <v>9.6800008009267909E-11</v>
      </c>
      <c r="I167" s="13">
        <f>PRODUCT(H$17:H167)</f>
        <v>0</v>
      </c>
      <c r="J167" s="13">
        <f>G166*Table13[[#This Row],[one-year conditional mortality AT ISSUE]]</f>
        <v>0</v>
      </c>
      <c r="K167" s="10">
        <f>I166*Table13[[#This Row],[one-year conditional mortality AT ISSUE]]</f>
        <v>0</v>
      </c>
      <c r="L167" s="3">
        <f t="shared" si="4"/>
        <v>2.4615991981893799E-3</v>
      </c>
      <c r="M167" s="44">
        <v>1</v>
      </c>
      <c r="N167" s="44">
        <f>Table13[[#This Row],[one-year conditional mortality AT ISSUE]]/Table13[[#This Row],[one-year conditional persistency AT ISSUE]]</f>
        <v>10330577656.607809</v>
      </c>
      <c r="O167" s="4">
        <f>(1+$B$14)^(Table13[[#This Row],[age since issue]]-$A$17)</f>
        <v>174.20173211081899</v>
      </c>
      <c r="P167" s="5">
        <f>(Table13[[#This Row],[level premium unmarked-up]]*Table13[[#This Row],[unconditional persistency AT ISSUE]]-Table13[[#This Row],[Death benefit pay probability]])</f>
        <v>0</v>
      </c>
      <c r="Q167" s="4">
        <f>Table13[[#This Row],[Issuer profit with unmarked-up level premium]]/Table13[[#This Row],[Issuer discounter at issue]]</f>
        <v>0</v>
      </c>
      <c r="R167" s="4">
        <f>(Table13[[#This Row],[variable premium unmarked up]]*Table13[[#This Row],[unconditional persistency AT ISSUE]]-Table13[[#This Row],[Death benefit pay probability]])</f>
        <v>0</v>
      </c>
      <c r="S167" s="6">
        <f>Table13[[#This Row],[level premium unmarked-up]]*(1+$B$15)</f>
        <v>2.4615991981893799E-3</v>
      </c>
      <c r="T167" s="6">
        <f>MIN(Table13[[#This Row],[variable premium unmarked up]]*(1+$B$15),1)</f>
        <v>1</v>
      </c>
      <c r="U167" s="6">
        <f>Table13[[#This Row],[level premium marked up]]-Table13[[#This Row],[variable premium marked up]]</f>
        <v>-0.99753840080181067</v>
      </c>
      <c r="V167" s="6">
        <f>Table13[[#This Row],[additional cash]]+V166*(1+$D$2)</f>
        <v>-76.135595857915916</v>
      </c>
      <c r="W167" s="12">
        <v>0.48857</v>
      </c>
      <c r="X167" s="13">
        <f>1-Table13[[#This Row],[one-year conditional mortality NOW]]</f>
        <v>0.51143000000000005</v>
      </c>
      <c r="Y167" s="49">
        <f>PRODUCT(X$17:X167)</f>
        <v>1.9481435344557229E-11</v>
      </c>
      <c r="Z167" s="13">
        <f>Table13[[#This Row],[one-year conditional survival NOW]]*(1-Table13[[#This Row],[Lapse rate]])</f>
        <v>0.49506424000000004</v>
      </c>
      <c r="AA167" s="13">
        <f>PRODUCT(Z$17:Z167)</f>
        <v>1.2680925917302751E-12</v>
      </c>
      <c r="AB167" s="50">
        <f>Y166*Table13[[#This Row],[one-year conditional mortality NOW]]</f>
        <v>1.8610650267466368E-11</v>
      </c>
      <c r="AC167" s="14">
        <v>1.9699999999999999E-2</v>
      </c>
      <c r="AD167" s="28">
        <f>(1+Table13[[#This Row],[Yield curve now]])^(Table13[[#This Row],[age since issue]]-$B$11)</f>
        <v>5.1485296888127348</v>
      </c>
      <c r="AE167" s="46">
        <f t="shared" si="5"/>
        <v>1555.6311101702549</v>
      </c>
      <c r="AF167" s="42">
        <f>1-Table13[[#This Row],[cumulative debt until t]]</f>
        <v>-1554.6311101702549</v>
      </c>
      <c r="AG167" s="46">
        <f>Table13[[#This Row],[cumulative debt until t]]*Table13[[#This Row],[Unconditional mortality NOW]]/Table13[[#This Row],[discouter with yield curve]]</f>
        <v>5.6232183334744081E-9</v>
      </c>
      <c r="AH167" s="48">
        <f>Table13[[#This Row],[Unconditional mortality NOW]]/Table13[[#This Row],[discouter with yield curve]]</f>
        <v>3.6147505001098741E-12</v>
      </c>
      <c r="AI167" s="29">
        <f>Table13[[#This Row],[user profit (death benefit - debt)]]*Table13[[#This Row],[Unconditional mortality NOW]]/Table13[[#This Row],[discouter with yield curve]]</f>
        <v>-5.619603582974298E-9</v>
      </c>
      <c r="AJ167" s="29">
        <f>(1+$D$4)^(Table13[[#This Row],[age since issue]]-$B$11)</f>
        <v>2.3067227440403668</v>
      </c>
      <c r="AK167" s="57">
        <f>Table13[[#This Row],[level premium marked up]]*Table13[[#This Row],[unconditional survival NOW]]</f>
        <v>4.7955485623740324E-14</v>
      </c>
      <c r="AL167" s="62">
        <f>Table13[[#This Row],[cumulative debt until t]]*Table13[[#This Row],[Unconditional mortality NOW]]</f>
        <v>2.8951306536569058E-8</v>
      </c>
      <c r="AM167" s="47">
        <f>Table13[[#This Row],[probablistic premium stream]]/Table13[[#This Row],[lender discounter]]</f>
        <v>2.0789445002715557E-14</v>
      </c>
      <c r="AN167" s="58">
        <f>Table13[[#This Row],[probablistic repay from borrower]]/Table13[[#This Row],[lender discounter]]</f>
        <v>1.2550839328812904E-8</v>
      </c>
      <c r="AO167" s="47">
        <f>(Table13[[#This Row],[probablistic repay from borrower]]-Table13[[#This Row],[probablistic premium stream]])/Table13[[#This Row],[lender discounter]]</f>
        <v>1.25508185393679E-8</v>
      </c>
      <c r="AP167" s="46">
        <f>AP166*(1+$D$4)+ Table13[[#This Row],[level premium marked up]]</f>
        <v>0.32734099275573447</v>
      </c>
      <c r="AQ167" s="58">
        <f>AP167*Table13[[#This Row],[Unconditional mortality NOW]]</f>
        <v>6.092028734382216E-12</v>
      </c>
      <c r="AR167" s="60">
        <f>Table13[[#This Row],[cumulative debt until t]]*Table13[[#This Row],[Unconditional mortality NOW]]</f>
        <v>2.8951306536569058E-8</v>
      </c>
      <c r="AS167" s="58">
        <f>Table13[[#This Row],[lender to pay cumulative probablistic undiscounted]]/Table13[[#This Row],[lender discounter]]</f>
        <v>2.6409887144528055E-12</v>
      </c>
    </row>
    <row r="168" spans="1:45" s="3" customFormat="1">
      <c r="A168" s="3">
        <v>172</v>
      </c>
      <c r="B168" s="8">
        <v>3.2000000000000001E-2</v>
      </c>
      <c r="C168" s="3">
        <v>0</v>
      </c>
      <c r="D168" s="12">
        <v>3.2000000000000001E-2</v>
      </c>
      <c r="E168" s="66">
        <v>0.99999999989999999</v>
      </c>
      <c r="F168" s="13">
        <f>1-Table13[[#This Row],[one-year conditional mortality AT ISSUE]]</f>
        <v>1.000000082740371E-10</v>
      </c>
      <c r="G168" s="13">
        <f>PRODUCT(F$17:F168)</f>
        <v>0</v>
      </c>
      <c r="H168" s="13">
        <f>Table13[[#This Row],[one-year conditional survival AT ISSUE]]*(1-Table13[[#This Row],[Lapse rate]])</f>
        <v>9.6800008009267909E-11</v>
      </c>
      <c r="I168" s="13">
        <f>PRODUCT(H$17:H168)</f>
        <v>0</v>
      </c>
      <c r="J168" s="13">
        <f>G167*Table13[[#This Row],[one-year conditional mortality AT ISSUE]]</f>
        <v>0</v>
      </c>
      <c r="K168" s="10">
        <f>I167*Table13[[#This Row],[one-year conditional mortality AT ISSUE]]</f>
        <v>0</v>
      </c>
      <c r="L168" s="3">
        <f t="shared" si="4"/>
        <v>2.4615991981893799E-3</v>
      </c>
      <c r="M168" s="44">
        <v>1</v>
      </c>
      <c r="N168" s="44">
        <f>Table13[[#This Row],[one-year conditional mortality AT ISSUE]]/Table13[[#This Row],[one-year conditional persistency AT ISSUE]]</f>
        <v>10330577656.607809</v>
      </c>
      <c r="O168" s="4">
        <f>(1+$B$14)^(Table13[[#This Row],[age since issue]]-$A$17)</f>
        <v>180.29879273469766</v>
      </c>
      <c r="P168" s="5">
        <f>(Table13[[#This Row],[level premium unmarked-up]]*Table13[[#This Row],[unconditional persistency AT ISSUE]]-Table13[[#This Row],[Death benefit pay probability]])</f>
        <v>0</v>
      </c>
      <c r="Q168" s="4">
        <f>Table13[[#This Row],[Issuer profit with unmarked-up level premium]]/Table13[[#This Row],[Issuer discounter at issue]]</f>
        <v>0</v>
      </c>
      <c r="R168" s="4">
        <f>(Table13[[#This Row],[variable premium unmarked up]]*Table13[[#This Row],[unconditional persistency AT ISSUE]]-Table13[[#This Row],[Death benefit pay probability]])</f>
        <v>0</v>
      </c>
      <c r="S168" s="6">
        <f>Table13[[#This Row],[level premium unmarked-up]]*(1+$B$15)</f>
        <v>2.4615991981893799E-3</v>
      </c>
      <c r="T168" s="6">
        <f>MIN(Table13[[#This Row],[variable premium unmarked up]]*(1+$B$15),1)</f>
        <v>1</v>
      </c>
      <c r="U168" s="6">
        <f>Table13[[#This Row],[level premium marked up]]-Table13[[#This Row],[variable premium marked up]]</f>
        <v>-0.99753840080181067</v>
      </c>
      <c r="V168" s="6">
        <f>Table13[[#This Row],[additional cash]]+V167*(1+$D$2)</f>
        <v>-77.209269854575638</v>
      </c>
      <c r="W168" s="12">
        <v>0.49595</v>
      </c>
      <c r="X168" s="13">
        <f>1-Table13[[#This Row],[one-year conditional mortality NOW]]</f>
        <v>0.50405</v>
      </c>
      <c r="Y168" s="49">
        <f>PRODUCT(X$17:X168)</f>
        <v>9.8196174854240714E-12</v>
      </c>
      <c r="Z168" s="13">
        <f>Table13[[#This Row],[one-year conditional survival NOW]]*(1-Table13[[#This Row],[Lapse rate]])</f>
        <v>0.48792039999999998</v>
      </c>
      <c r="AA168" s="13">
        <f>PRODUCT(Z$17:Z168)</f>
        <v>6.1872824459407251E-13</v>
      </c>
      <c r="AB168" s="50">
        <f>Y167*Table13[[#This Row],[one-year conditional mortality NOW]]</f>
        <v>9.6618178591331577E-12</v>
      </c>
      <c r="AC168" s="14">
        <v>1.9699999999999999E-2</v>
      </c>
      <c r="AD168" s="28">
        <f>(1+Table13[[#This Row],[Yield curve now]])^(Table13[[#This Row],[age since issue]]-$B$11)</f>
        <v>5.249955723682346</v>
      </c>
      <c r="AE168" s="46">
        <f t="shared" si="5"/>
        <v>1779.2643260389</v>
      </c>
      <c r="AF168" s="42">
        <f>1-Table13[[#This Row],[cumulative debt until t]]</f>
        <v>-1778.2643260389</v>
      </c>
      <c r="AG168" s="46">
        <f>Table13[[#This Row],[cumulative debt until t]]*Table13[[#This Row],[Unconditional mortality NOW]]/Table13[[#This Row],[discouter with yield curve]]</f>
        <v>3.2744900616768173E-9</v>
      </c>
      <c r="AH168" s="48">
        <f>Table13[[#This Row],[Unconditional mortality NOW]]/Table13[[#This Row],[discouter with yield curve]]</f>
        <v>1.8403617797287459E-12</v>
      </c>
      <c r="AI168" s="29">
        <f>Table13[[#This Row],[user profit (death benefit - debt)]]*Table13[[#This Row],[Unconditional mortality NOW]]/Table13[[#This Row],[discouter with yield curve]]</f>
        <v>-3.2726496998970886E-9</v>
      </c>
      <c r="AJ168" s="29">
        <f>(1+$D$4)^(Table13[[#This Row],[age since issue]]-$B$11)</f>
        <v>2.3297899714807699</v>
      </c>
      <c r="AK168" s="57">
        <f>Table13[[#This Row],[level premium marked up]]*Table13[[#This Row],[unconditional survival NOW]]</f>
        <v>2.417196252864631E-14</v>
      </c>
      <c r="AL168" s="62">
        <f>Table13[[#This Row],[cumulative debt until t]]*Table13[[#This Row],[Unconditional mortality NOW]]</f>
        <v>1.7190927841441165E-8</v>
      </c>
      <c r="AM168" s="47">
        <f>Table13[[#This Row],[probablistic premium stream]]/Table13[[#This Row],[lender discounter]]</f>
        <v>1.0375168072889881E-14</v>
      </c>
      <c r="AN168" s="58">
        <f>Table13[[#This Row],[probablistic repay from borrower]]/Table13[[#This Row],[lender discounter]]</f>
        <v>7.3787457461304717E-9</v>
      </c>
      <c r="AO168" s="47">
        <f>(Table13[[#This Row],[probablistic repay from borrower]]-Table13[[#This Row],[probablistic premium stream]])/Table13[[#This Row],[lender discounter]]</f>
        <v>7.3787353709623989E-9</v>
      </c>
      <c r="AP168" s="46">
        <f>AP167*(1+$D$4)+ Table13[[#This Row],[level premium marked up]]</f>
        <v>0.33307600188148123</v>
      </c>
      <c r="AQ168" s="58">
        <f>AP168*Table13[[#This Row],[Unconditional mortality NOW]]</f>
        <v>3.2181196634271647E-12</v>
      </c>
      <c r="AR168" s="60">
        <f>Table13[[#This Row],[cumulative debt until t]]*Table13[[#This Row],[Unconditional mortality NOW]]</f>
        <v>1.7190927841441165E-8</v>
      </c>
      <c r="AS168" s="58">
        <f>Table13[[#This Row],[lender to pay cumulative probablistic undiscounted]]/Table13[[#This Row],[lender discounter]]</f>
        <v>1.3812917485355083E-12</v>
      </c>
    </row>
    <row r="169" spans="1:45" s="3" customFormat="1">
      <c r="A169" s="3">
        <v>173</v>
      </c>
      <c r="B169" s="8">
        <v>3.2000000000000001E-2</v>
      </c>
      <c r="C169" s="3">
        <v>0</v>
      </c>
      <c r="D169" s="12">
        <v>3.2000000000000001E-2</v>
      </c>
      <c r="E169" s="66">
        <v>0.99999999989999999</v>
      </c>
      <c r="F169" s="13">
        <f>1-Table13[[#This Row],[one-year conditional mortality AT ISSUE]]</f>
        <v>1.000000082740371E-10</v>
      </c>
      <c r="G169" s="13">
        <f>PRODUCT(F$17:F169)</f>
        <v>0</v>
      </c>
      <c r="H169" s="13">
        <f>Table13[[#This Row],[one-year conditional survival AT ISSUE]]*(1-Table13[[#This Row],[Lapse rate]])</f>
        <v>9.6800008009267909E-11</v>
      </c>
      <c r="I169" s="13">
        <f>PRODUCT(H$17:H169)</f>
        <v>0</v>
      </c>
      <c r="J169" s="13">
        <f>G168*Table13[[#This Row],[one-year conditional mortality AT ISSUE]]</f>
        <v>0</v>
      </c>
      <c r="K169" s="10">
        <f>I168*Table13[[#This Row],[one-year conditional mortality AT ISSUE]]</f>
        <v>0</v>
      </c>
      <c r="L169" s="3">
        <f t="shared" si="4"/>
        <v>2.4615991981893799E-3</v>
      </c>
      <c r="M169" s="44">
        <v>1</v>
      </c>
      <c r="N169" s="44">
        <f>Table13[[#This Row],[one-year conditional mortality AT ISSUE]]/Table13[[#This Row],[one-year conditional persistency AT ISSUE]]</f>
        <v>10330577656.607809</v>
      </c>
      <c r="O169" s="4">
        <f>(1+$B$14)^(Table13[[#This Row],[age since issue]]-$A$17)</f>
        <v>186.60925048041202</v>
      </c>
      <c r="P169" s="5">
        <f>(Table13[[#This Row],[level premium unmarked-up]]*Table13[[#This Row],[unconditional persistency AT ISSUE]]-Table13[[#This Row],[Death benefit pay probability]])</f>
        <v>0</v>
      </c>
      <c r="Q169" s="4">
        <f>Table13[[#This Row],[Issuer profit with unmarked-up level premium]]/Table13[[#This Row],[Issuer discounter at issue]]</f>
        <v>0</v>
      </c>
      <c r="R169" s="4">
        <f>(Table13[[#This Row],[variable premium unmarked up]]*Table13[[#This Row],[unconditional persistency AT ISSUE]]-Table13[[#This Row],[Death benefit pay probability]])</f>
        <v>0</v>
      </c>
      <c r="S169" s="6">
        <f>Table13[[#This Row],[level premium unmarked-up]]*(1+$B$15)</f>
        <v>2.4615991981893799E-3</v>
      </c>
      <c r="T169" s="6">
        <f>MIN(Table13[[#This Row],[variable premium unmarked up]]*(1+$B$15),1)</f>
        <v>1</v>
      </c>
      <c r="U169" s="6">
        <f>Table13[[#This Row],[level premium marked up]]-Table13[[#This Row],[variable premium marked up]]</f>
        <v>-0.99753840080181067</v>
      </c>
      <c r="V169" s="6">
        <f>Table13[[#This Row],[additional cash]]+V168*(1+$D$2)</f>
        <v>-78.284017525232017</v>
      </c>
      <c r="W169" s="12">
        <v>0.5</v>
      </c>
      <c r="X169" s="13">
        <f>1-Table13[[#This Row],[one-year conditional mortality NOW]]</f>
        <v>0.5</v>
      </c>
      <c r="Y169" s="49">
        <f>PRODUCT(X$17:X169)</f>
        <v>4.9098087427120357E-12</v>
      </c>
      <c r="Z169" s="13">
        <f>Table13[[#This Row],[one-year conditional survival NOW]]*(1-Table13[[#This Row],[Lapse rate]])</f>
        <v>0.48399999999999999</v>
      </c>
      <c r="AA169" s="13">
        <f>PRODUCT(Z$17:Z169)</f>
        <v>2.9946447038353108E-13</v>
      </c>
      <c r="AB169" s="50">
        <f>Y168*Table13[[#This Row],[one-year conditional mortality NOW]]</f>
        <v>4.9098087427120357E-12</v>
      </c>
      <c r="AC169" s="14">
        <v>1.9699999999999999E-2</v>
      </c>
      <c r="AD169" s="28">
        <f>(1+Table13[[#This Row],[Yield curve now]])^(Table13[[#This Row],[age since issue]]-$B$11)</f>
        <v>5.3533798514388877</v>
      </c>
      <c r="AE169" s="46">
        <f t="shared" si="5"/>
        <v>2035.0460283197544</v>
      </c>
      <c r="AF169" s="42">
        <f>1-Table13[[#This Row],[cumulative debt until t]]</f>
        <v>-2034.0460283197544</v>
      </c>
      <c r="AG169" s="46">
        <f>Table13[[#This Row],[cumulative debt until t]]*Table13[[#This Row],[Unconditional mortality NOW]]/Table13[[#This Row],[discouter with yield curve]]</f>
        <v>1.866425895218356E-9</v>
      </c>
      <c r="AH169" s="48">
        <f>Table13[[#This Row],[Unconditional mortality NOW]]/Table13[[#This Row],[discouter with yield curve]]</f>
        <v>9.1714185784750016E-13</v>
      </c>
      <c r="AI169" s="29">
        <f>Table13[[#This Row],[user profit (death benefit - debt)]]*Table13[[#This Row],[Unconditional mortality NOW]]/Table13[[#This Row],[discouter with yield curve]]</f>
        <v>-1.8655087533605086E-9</v>
      </c>
      <c r="AJ169" s="29">
        <f>(1+$D$4)^(Table13[[#This Row],[age since issue]]-$B$11)</f>
        <v>2.3530878711955783</v>
      </c>
      <c r="AK169" s="57">
        <f>Table13[[#This Row],[level premium marked up]]*Table13[[#This Row],[unconditional survival NOW]]</f>
        <v>1.2085981264323155E-14</v>
      </c>
      <c r="AL169" s="62">
        <f>Table13[[#This Row],[cumulative debt until t]]*Table13[[#This Row],[Unconditional mortality NOW]]</f>
        <v>9.9916867816657358E-9</v>
      </c>
      <c r="AM169" s="47">
        <f>Table13[[#This Row],[probablistic premium stream]]/Table13[[#This Row],[lender discounter]]</f>
        <v>5.1362218182623155E-15</v>
      </c>
      <c r="AN169" s="58">
        <f>Table13[[#This Row],[probablistic repay from borrower]]/Table13[[#This Row],[lender discounter]]</f>
        <v>4.246202151638761E-9</v>
      </c>
      <c r="AO169" s="47">
        <f>(Table13[[#This Row],[probablistic repay from borrower]]-Table13[[#This Row],[probablistic premium stream]])/Table13[[#This Row],[lender discounter]]</f>
        <v>4.2461970154169422E-9</v>
      </c>
      <c r="AP169" s="46">
        <f>AP168*(1+$D$4)+ Table13[[#This Row],[level premium marked up]]</f>
        <v>0.33886836109848545</v>
      </c>
      <c r="AQ169" s="58">
        <f>AP169*Table13[[#This Row],[Unconditional mortality NOW]]</f>
        <v>1.6637788419498429E-12</v>
      </c>
      <c r="AR169" s="60">
        <f>Table13[[#This Row],[cumulative debt until t]]*Table13[[#This Row],[Unconditional mortality NOW]]</f>
        <v>9.9916867816657358E-9</v>
      </c>
      <c r="AS169" s="58">
        <f>Table13[[#This Row],[lender to pay cumulative probablistic undiscounted]]/Table13[[#This Row],[lender discounter]]</f>
        <v>7.0706192587040748E-13</v>
      </c>
    </row>
    <row r="170" spans="1:45" s="3" customFormat="1">
      <c r="A170" s="3">
        <v>174</v>
      </c>
      <c r="B170" s="8">
        <v>3.2000000000000001E-2</v>
      </c>
      <c r="C170" s="3">
        <v>0</v>
      </c>
      <c r="D170" s="12">
        <v>3.2000000000000001E-2</v>
      </c>
      <c r="E170" s="66">
        <v>0.99999999989999999</v>
      </c>
      <c r="F170" s="13">
        <f>1-Table13[[#This Row],[one-year conditional mortality AT ISSUE]]</f>
        <v>1.000000082740371E-10</v>
      </c>
      <c r="G170" s="13">
        <f>PRODUCT(F$17:F170)</f>
        <v>0</v>
      </c>
      <c r="H170" s="13">
        <f>Table13[[#This Row],[one-year conditional survival AT ISSUE]]*(1-Table13[[#This Row],[Lapse rate]])</f>
        <v>9.6800008009267909E-11</v>
      </c>
      <c r="I170" s="13">
        <f>PRODUCT(H$17:H170)</f>
        <v>0</v>
      </c>
      <c r="J170" s="13">
        <f>G169*Table13[[#This Row],[one-year conditional mortality AT ISSUE]]</f>
        <v>0</v>
      </c>
      <c r="K170" s="10">
        <f>I169*Table13[[#This Row],[one-year conditional mortality AT ISSUE]]</f>
        <v>0</v>
      </c>
      <c r="L170" s="3">
        <f t="shared" si="4"/>
        <v>2.4615991981893799E-3</v>
      </c>
      <c r="M170" s="44">
        <v>1</v>
      </c>
      <c r="N170" s="44">
        <f>Table13[[#This Row],[one-year conditional mortality AT ISSUE]]/Table13[[#This Row],[one-year conditional persistency AT ISSUE]]</f>
        <v>10330577656.607809</v>
      </c>
      <c r="O170" s="4">
        <f>(1+$B$14)^(Table13[[#This Row],[age since issue]]-$A$17)</f>
        <v>193.14057424722643</v>
      </c>
      <c r="P170" s="5">
        <f>(Table13[[#This Row],[level premium unmarked-up]]*Table13[[#This Row],[unconditional persistency AT ISSUE]]-Table13[[#This Row],[Death benefit pay probability]])</f>
        <v>0</v>
      </c>
      <c r="Q170" s="4">
        <f>Table13[[#This Row],[Issuer profit with unmarked-up level premium]]/Table13[[#This Row],[Issuer discounter at issue]]</f>
        <v>0</v>
      </c>
      <c r="R170" s="4">
        <f>(Table13[[#This Row],[variable premium unmarked up]]*Table13[[#This Row],[unconditional persistency AT ISSUE]]-Table13[[#This Row],[Death benefit pay probability]])</f>
        <v>0</v>
      </c>
      <c r="S170" s="6">
        <f>Table13[[#This Row],[level premium unmarked-up]]*(1+$B$15)</f>
        <v>2.4615991981893799E-3</v>
      </c>
      <c r="T170" s="6">
        <f>MIN(Table13[[#This Row],[variable premium unmarked up]]*(1+$B$15),1)</f>
        <v>1</v>
      </c>
      <c r="U170" s="6">
        <f>Table13[[#This Row],[level premium marked up]]-Table13[[#This Row],[variable premium marked up]]</f>
        <v>-0.99753840080181067</v>
      </c>
      <c r="V170" s="6">
        <f>Table13[[#This Row],[additional cash]]+V169*(1+$D$2)</f>
        <v>-79.359839943559052</v>
      </c>
      <c r="W170" s="12">
        <v>0.5</v>
      </c>
      <c r="X170" s="13">
        <f>1-Table13[[#This Row],[one-year conditional mortality NOW]]</f>
        <v>0.5</v>
      </c>
      <c r="Y170" s="49">
        <f>PRODUCT(X$17:X170)</f>
        <v>2.4549043713560178E-12</v>
      </c>
      <c r="Z170" s="13">
        <f>Table13[[#This Row],[one-year conditional survival NOW]]*(1-Table13[[#This Row],[Lapse rate]])</f>
        <v>0.48399999999999999</v>
      </c>
      <c r="AA170" s="13">
        <f>PRODUCT(Z$17:Z170)</f>
        <v>1.4494080366562904E-13</v>
      </c>
      <c r="AB170" s="50">
        <f>Y169*Table13[[#This Row],[one-year conditional mortality NOW]]</f>
        <v>2.4549043713560178E-12</v>
      </c>
      <c r="AC170" s="14">
        <v>1.9699999999999999E-2</v>
      </c>
      <c r="AD170" s="28">
        <f>(1+Table13[[#This Row],[Yield curve now]])^(Table13[[#This Row],[age since issue]]-$B$11)</f>
        <v>5.4588414345122338</v>
      </c>
      <c r="AE170" s="46">
        <f t="shared" si="5"/>
        <v>2327.5977361131077</v>
      </c>
      <c r="AF170" s="42">
        <f>1-Table13[[#This Row],[cumulative debt until t]]</f>
        <v>-2326.5977361131077</v>
      </c>
      <c r="AG170" s="46">
        <f>Table13[[#This Row],[cumulative debt until t]]*Table13[[#This Row],[Unconditional mortality NOW]]/Table13[[#This Row],[discouter with yield curve]]</f>
        <v>1.0467477258117146E-9</v>
      </c>
      <c r="AH170" s="48">
        <f>Table13[[#This Row],[Unconditional mortality NOW]]/Table13[[#This Row],[discouter with yield curve]]</f>
        <v>4.4971161020275579E-13</v>
      </c>
      <c r="AI170" s="29">
        <f>Table13[[#This Row],[user profit (death benefit - debt)]]*Table13[[#This Row],[Unconditional mortality NOW]]/Table13[[#This Row],[discouter with yield curve]]</f>
        <v>-1.0462980142015119E-9</v>
      </c>
      <c r="AJ170" s="29">
        <f>(1+$D$4)^(Table13[[#This Row],[age since issue]]-$B$11)</f>
        <v>2.3766187499075335</v>
      </c>
      <c r="AK170" s="57">
        <f>Table13[[#This Row],[level premium marked up]]*Table13[[#This Row],[unconditional survival NOW]]</f>
        <v>6.0429906321615774E-15</v>
      </c>
      <c r="AL170" s="62">
        <f>Table13[[#This Row],[cumulative debt until t]]*Table13[[#This Row],[Unconditional mortality NOW]]</f>
        <v>5.7140298571424386E-9</v>
      </c>
      <c r="AM170" s="47">
        <f>Table13[[#This Row],[probablistic premium stream]]/Table13[[#This Row],[lender discounter]]</f>
        <v>2.5426840684466916E-15</v>
      </c>
      <c r="AN170" s="58">
        <f>Table13[[#This Row],[probablistic repay from borrower]]/Table13[[#This Row],[lender discounter]]</f>
        <v>2.4042686094960553E-9</v>
      </c>
      <c r="AO170" s="47">
        <f>(Table13[[#This Row],[probablistic repay from borrower]]-Table13[[#This Row],[probablistic premium stream]])/Table13[[#This Row],[lender discounter]]</f>
        <v>2.4042660668119869E-9</v>
      </c>
      <c r="AP170" s="46">
        <f>AP169*(1+$D$4)+ Table13[[#This Row],[level premium marked up]]</f>
        <v>0.34471864390765972</v>
      </c>
      <c r="AQ170" s="58">
        <f>AP170*Table13[[#This Row],[Unconditional mortality NOW]]</f>
        <v>8.4625130581683231E-13</v>
      </c>
      <c r="AR170" s="60">
        <f>Table13[[#This Row],[cumulative debt until t]]*Table13[[#This Row],[Unconditional mortality NOW]]</f>
        <v>5.7140298571424386E-9</v>
      </c>
      <c r="AS170" s="58">
        <f>Table13[[#This Row],[lender to pay cumulative probablistic undiscounted]]/Table13[[#This Row],[lender discounter]]</f>
        <v>3.5607364700365052E-13</v>
      </c>
    </row>
    <row r="171" spans="1:45" s="3" customFormat="1">
      <c r="A171" s="3">
        <v>175</v>
      </c>
      <c r="B171" s="8">
        <v>3.2000000000000001E-2</v>
      </c>
      <c r="C171" s="3">
        <v>0</v>
      </c>
      <c r="D171" s="12">
        <v>3.2000000000000001E-2</v>
      </c>
      <c r="E171" s="66">
        <v>0.99999999989999999</v>
      </c>
      <c r="F171" s="13">
        <f>1-Table13[[#This Row],[one-year conditional mortality AT ISSUE]]</f>
        <v>1.000000082740371E-10</v>
      </c>
      <c r="G171" s="13">
        <f>PRODUCT(F$17:F171)</f>
        <v>0</v>
      </c>
      <c r="H171" s="13">
        <f>Table13[[#This Row],[one-year conditional survival AT ISSUE]]*(1-Table13[[#This Row],[Lapse rate]])</f>
        <v>9.6800008009267909E-11</v>
      </c>
      <c r="I171" s="13">
        <f>PRODUCT(H$17:H171)</f>
        <v>0</v>
      </c>
      <c r="J171" s="13">
        <f>G170*Table13[[#This Row],[one-year conditional mortality AT ISSUE]]</f>
        <v>0</v>
      </c>
      <c r="K171" s="10">
        <f>I170*Table13[[#This Row],[one-year conditional mortality AT ISSUE]]</f>
        <v>0</v>
      </c>
      <c r="L171" s="3">
        <f t="shared" si="4"/>
        <v>2.4615991981893799E-3</v>
      </c>
      <c r="M171" s="44">
        <v>1</v>
      </c>
      <c r="N171" s="44">
        <f>Table13[[#This Row],[one-year conditional mortality AT ISSUE]]/Table13[[#This Row],[one-year conditional persistency AT ISSUE]]</f>
        <v>10330577656.607809</v>
      </c>
      <c r="O171" s="4">
        <f>(1+$B$14)^(Table13[[#This Row],[age since issue]]-$A$17)</f>
        <v>199.90049434587934</v>
      </c>
      <c r="P171" s="5">
        <f>(Table13[[#This Row],[level premium unmarked-up]]*Table13[[#This Row],[unconditional persistency AT ISSUE]]-Table13[[#This Row],[Death benefit pay probability]])</f>
        <v>0</v>
      </c>
      <c r="Q171" s="4">
        <f>Table13[[#This Row],[Issuer profit with unmarked-up level premium]]/Table13[[#This Row],[Issuer discounter at issue]]</f>
        <v>0</v>
      </c>
      <c r="R171" s="4">
        <f>(Table13[[#This Row],[variable premium unmarked up]]*Table13[[#This Row],[unconditional persistency AT ISSUE]]-Table13[[#This Row],[Death benefit pay probability]])</f>
        <v>0</v>
      </c>
      <c r="S171" s="6">
        <f>Table13[[#This Row],[level premium unmarked-up]]*(1+$B$15)</f>
        <v>2.4615991981893799E-3</v>
      </c>
      <c r="T171" s="6">
        <f>MIN(Table13[[#This Row],[variable premium unmarked up]]*(1+$B$15),1)</f>
        <v>1</v>
      </c>
      <c r="U171" s="6">
        <f>Table13[[#This Row],[level premium marked up]]-Table13[[#This Row],[variable premium marked up]]</f>
        <v>-0.99753840080181067</v>
      </c>
      <c r="V171" s="6">
        <f>Table13[[#This Row],[additional cash]]+V170*(1+$D$2)</f>
        <v>-80.436738184304417</v>
      </c>
      <c r="W171" s="12">
        <v>0.5</v>
      </c>
      <c r="X171" s="13">
        <f>1-Table13[[#This Row],[one-year conditional mortality NOW]]</f>
        <v>0.5</v>
      </c>
      <c r="Y171" s="49">
        <f>PRODUCT(X$17:X171)</f>
        <v>1.2274521856780089E-12</v>
      </c>
      <c r="Z171" s="13">
        <f>Table13[[#This Row],[one-year conditional survival NOW]]*(1-Table13[[#This Row],[Lapse rate]])</f>
        <v>0.48399999999999999</v>
      </c>
      <c r="AA171" s="13">
        <f>PRODUCT(Z$17:Z171)</f>
        <v>7.0151348974164452E-14</v>
      </c>
      <c r="AB171" s="50">
        <f>Y170*Table13[[#This Row],[one-year conditional mortality NOW]]</f>
        <v>1.2274521856780089E-12</v>
      </c>
      <c r="AC171" s="14">
        <v>1.9699999999999999E-2</v>
      </c>
      <c r="AD171" s="28">
        <f>(1+Table13[[#This Row],[Yield curve now]])^(Table13[[#This Row],[age since issue]]-$B$11)</f>
        <v>5.5663806107721259</v>
      </c>
      <c r="AE171" s="46">
        <f t="shared" si="5"/>
        <v>2662.2053369290234</v>
      </c>
      <c r="AF171" s="42">
        <f>1-Table13[[#This Row],[cumulative debt until t]]</f>
        <v>-2661.2053369290234</v>
      </c>
      <c r="AG171" s="46">
        <f>Table13[[#This Row],[cumulative debt until t]]*Table13[[#This Row],[Unconditional mortality NOW]]/Table13[[#This Row],[discouter with yield curve]]</f>
        <v>5.8704748885001509E-10</v>
      </c>
      <c r="AH171" s="48">
        <f>Table13[[#This Row],[Unconditional mortality NOW]]/Table13[[#This Row],[discouter with yield curve]]</f>
        <v>2.2051172413590059E-13</v>
      </c>
      <c r="AI171" s="29">
        <f>Table13[[#This Row],[user profit (death benefit - debt)]]*Table13[[#This Row],[Unconditional mortality NOW]]/Table13[[#This Row],[discouter with yield curve]]</f>
        <v>-5.8682697712587919E-10</v>
      </c>
      <c r="AJ171" s="29">
        <f>(1+$D$4)^(Table13[[#This Row],[age since issue]]-$B$11)</f>
        <v>2.4003849374066095</v>
      </c>
      <c r="AK171" s="57">
        <f>Table13[[#This Row],[level premium marked up]]*Table13[[#This Row],[unconditional survival NOW]]</f>
        <v>3.0214953160807887E-15</v>
      </c>
      <c r="AL171" s="62">
        <f>Table13[[#This Row],[cumulative debt until t]]*Table13[[#This Row],[Unconditional mortality NOW]]</f>
        <v>3.26772975953719E-9</v>
      </c>
      <c r="AM171" s="47">
        <f>Table13[[#This Row],[probablistic premium stream]]/Table13[[#This Row],[lender discounter]]</f>
        <v>1.2587544893300449E-15</v>
      </c>
      <c r="AN171" s="58">
        <f>Table13[[#This Row],[probablistic repay from borrower]]/Table13[[#This Row],[lender discounter]]</f>
        <v>1.36133572103967E-9</v>
      </c>
      <c r="AO171" s="47">
        <f>(Table13[[#This Row],[probablistic repay from borrower]]-Table13[[#This Row],[probablistic premium stream]])/Table13[[#This Row],[lender discounter]]</f>
        <v>1.3613344622851806E-9</v>
      </c>
      <c r="AP171" s="46">
        <f>AP170*(1+$D$4)+ Table13[[#This Row],[level premium marked up]]</f>
        <v>0.35062742954492571</v>
      </c>
      <c r="AQ171" s="58">
        <f>AP171*Table13[[#This Row],[Unconditional mortality NOW]]</f>
        <v>4.3037840475358112E-13</v>
      </c>
      <c r="AR171" s="60">
        <f>Table13[[#This Row],[cumulative debt until t]]*Table13[[#This Row],[Unconditional mortality NOW]]</f>
        <v>3.26772975953719E-9</v>
      </c>
      <c r="AS171" s="58">
        <f>Table13[[#This Row],[lender to pay cumulative probablistic undiscounted]]/Table13[[#This Row],[lender discounter]]</f>
        <v>1.7929557799115527E-13</v>
      </c>
    </row>
    <row r="172" spans="1:45" s="3" customFormat="1">
      <c r="A172" s="3">
        <v>176</v>
      </c>
      <c r="B172" s="8">
        <v>3.2000000000000001E-2</v>
      </c>
      <c r="C172" s="3">
        <v>0</v>
      </c>
      <c r="D172" s="12">
        <v>3.2000000000000001E-2</v>
      </c>
      <c r="E172" s="66">
        <v>0.99999999989999999</v>
      </c>
      <c r="F172" s="13">
        <f>1-Table13[[#This Row],[one-year conditional mortality AT ISSUE]]</f>
        <v>1.000000082740371E-10</v>
      </c>
      <c r="G172" s="13">
        <f>PRODUCT(F$17:F172)</f>
        <v>0</v>
      </c>
      <c r="H172" s="13">
        <f>Table13[[#This Row],[one-year conditional survival AT ISSUE]]*(1-Table13[[#This Row],[Lapse rate]])</f>
        <v>9.6800008009267909E-11</v>
      </c>
      <c r="I172" s="13">
        <f>PRODUCT(H$17:H172)</f>
        <v>0</v>
      </c>
      <c r="J172" s="13">
        <f>G171*Table13[[#This Row],[one-year conditional mortality AT ISSUE]]</f>
        <v>0</v>
      </c>
      <c r="K172" s="10">
        <f>I171*Table13[[#This Row],[one-year conditional mortality AT ISSUE]]</f>
        <v>0</v>
      </c>
      <c r="L172" s="3">
        <f t="shared" si="4"/>
        <v>2.4615991981893799E-3</v>
      </c>
      <c r="M172" s="44">
        <v>1</v>
      </c>
      <c r="N172" s="44">
        <f>Table13[[#This Row],[one-year conditional mortality AT ISSUE]]/Table13[[#This Row],[one-year conditional persistency AT ISSUE]]</f>
        <v>10330577656.607809</v>
      </c>
      <c r="O172" s="4">
        <f>(1+$B$14)^(Table13[[#This Row],[age since issue]]-$A$17)</f>
        <v>206.89701164798512</v>
      </c>
      <c r="P172" s="5">
        <f>(Table13[[#This Row],[level premium unmarked-up]]*Table13[[#This Row],[unconditional persistency AT ISSUE]]-Table13[[#This Row],[Death benefit pay probability]])</f>
        <v>0</v>
      </c>
      <c r="Q172" s="4">
        <f>Table13[[#This Row],[Issuer profit with unmarked-up level premium]]/Table13[[#This Row],[Issuer discounter at issue]]</f>
        <v>0</v>
      </c>
      <c r="R172" s="4">
        <f>(Table13[[#This Row],[variable premium unmarked up]]*Table13[[#This Row],[unconditional persistency AT ISSUE]]-Table13[[#This Row],[Death benefit pay probability]])</f>
        <v>0</v>
      </c>
      <c r="S172" s="6">
        <f>Table13[[#This Row],[level premium unmarked-up]]*(1+$B$15)</f>
        <v>2.4615991981893799E-3</v>
      </c>
      <c r="T172" s="6">
        <f>MIN(Table13[[#This Row],[variable premium unmarked up]]*(1+$B$15),1)</f>
        <v>1</v>
      </c>
      <c r="U172" s="6">
        <f>Table13[[#This Row],[level premium marked up]]-Table13[[#This Row],[variable premium marked up]]</f>
        <v>-0.99753840080181067</v>
      </c>
      <c r="V172" s="6">
        <f>Table13[[#This Row],[additional cash]]+V171*(1+$D$2)</f>
        <v>-81.514713323290522</v>
      </c>
      <c r="W172" s="12">
        <v>0.5</v>
      </c>
      <c r="X172" s="13">
        <f>1-Table13[[#This Row],[one-year conditional mortality NOW]]</f>
        <v>0.5</v>
      </c>
      <c r="Y172" s="49">
        <f>PRODUCT(X$17:X172)</f>
        <v>6.1372609283900446E-13</v>
      </c>
      <c r="Z172" s="13">
        <f>Table13[[#This Row],[one-year conditional survival NOW]]*(1-Table13[[#This Row],[Lapse rate]])</f>
        <v>0.48399999999999999</v>
      </c>
      <c r="AA172" s="13">
        <f>PRODUCT(Z$17:Z172)</f>
        <v>3.3953252903495595E-14</v>
      </c>
      <c r="AB172" s="50">
        <f>Y171*Table13[[#This Row],[one-year conditional mortality NOW]]</f>
        <v>6.1372609283900446E-13</v>
      </c>
      <c r="AC172" s="14">
        <v>1.9699999999999999E-2</v>
      </c>
      <c r="AD172" s="28">
        <f>(1+Table13[[#This Row],[Yield curve now]])^(Table13[[#This Row],[age since issue]]-$B$11)</f>
        <v>5.6760383088043369</v>
      </c>
      <c r="AE172" s="46">
        <f t="shared" si="5"/>
        <v>3044.9145932457518</v>
      </c>
      <c r="AF172" s="42">
        <f>1-Table13[[#This Row],[cumulative debt until t]]</f>
        <v>-3043.9145932457518</v>
      </c>
      <c r="AG172" s="46">
        <f>Table13[[#This Row],[cumulative debt until t]]*Table13[[#This Row],[Unconditional mortality NOW]]/Table13[[#This Row],[discouter with yield curve]]</f>
        <v>3.292337779754757E-10</v>
      </c>
      <c r="AH172" s="48">
        <f>Table13[[#This Row],[Unconditional mortality NOW]]/Table13[[#This Row],[discouter with yield curve]]</f>
        <v>1.0812578412077111E-13</v>
      </c>
      <c r="AI172" s="29">
        <f>Table13[[#This Row],[user profit (death benefit - debt)]]*Table13[[#This Row],[Unconditional mortality NOW]]/Table13[[#This Row],[discouter with yield curve]]</f>
        <v>-3.2912565219135498E-10</v>
      </c>
      <c r="AJ172" s="29">
        <f>(1+$D$4)^(Table13[[#This Row],[age since issue]]-$B$11)</f>
        <v>2.4243887867806762</v>
      </c>
      <c r="AK172" s="57">
        <f>Table13[[#This Row],[level premium marked up]]*Table13[[#This Row],[unconditional survival NOW]]</f>
        <v>1.5107476580403943E-15</v>
      </c>
      <c r="AL172" s="62">
        <f>Table13[[#This Row],[cumulative debt until t]]*Table13[[#This Row],[Unconditional mortality NOW]]</f>
        <v>1.8687435363411816E-9</v>
      </c>
      <c r="AM172" s="47">
        <f>Table13[[#This Row],[probablistic premium stream]]/Table13[[#This Row],[lender discounter]]</f>
        <v>6.2314578679705181E-16</v>
      </c>
      <c r="AN172" s="58">
        <f>Table13[[#This Row],[probablistic repay from borrower]]/Table13[[#This Row],[lender discounter]]</f>
        <v>7.7081017142579228E-10</v>
      </c>
      <c r="AO172" s="47">
        <f>(Table13[[#This Row],[probablistic repay from borrower]]-Table13[[#This Row],[probablistic premium stream]])/Table13[[#This Row],[lender discounter]]</f>
        <v>7.7080954828000552E-10</v>
      </c>
      <c r="AP172" s="46">
        <f>AP171*(1+$D$4)+ Table13[[#This Row],[level premium marked up]]</f>
        <v>0.35659530303856435</v>
      </c>
      <c r="AQ172" s="58">
        <f>AP172*Table13[[#This Row],[Unconditional mortality NOW]]</f>
        <v>2.1885184205859887E-13</v>
      </c>
      <c r="AR172" s="60">
        <f>Table13[[#This Row],[cumulative debt until t]]*Table13[[#This Row],[Unconditional mortality NOW]]</f>
        <v>1.8687435363411816E-9</v>
      </c>
      <c r="AS172" s="58">
        <f>Table13[[#This Row],[lender to pay cumulative probablistic undiscounted]]/Table13[[#This Row],[lender discounter]]</f>
        <v>9.0270934782374675E-14</v>
      </c>
    </row>
    <row r="173" spans="1:45" s="3" customFormat="1">
      <c r="A173" s="3">
        <v>177</v>
      </c>
      <c r="B173" s="8">
        <v>3.2000000000000001E-2</v>
      </c>
      <c r="C173" s="3">
        <v>0</v>
      </c>
      <c r="D173" s="12">
        <v>3.2000000000000001E-2</v>
      </c>
      <c r="E173" s="66">
        <v>0.99999999989999999</v>
      </c>
      <c r="F173" s="13">
        <f>1-Table13[[#This Row],[one-year conditional mortality AT ISSUE]]</f>
        <v>1.000000082740371E-10</v>
      </c>
      <c r="G173" s="13">
        <f>PRODUCT(F$17:F173)</f>
        <v>0</v>
      </c>
      <c r="H173" s="13">
        <f>Table13[[#This Row],[one-year conditional survival AT ISSUE]]*(1-Table13[[#This Row],[Lapse rate]])</f>
        <v>9.6800008009267909E-11</v>
      </c>
      <c r="I173" s="13">
        <f>PRODUCT(H$17:H173)</f>
        <v>0</v>
      </c>
      <c r="J173" s="13">
        <f>G172*Table13[[#This Row],[one-year conditional mortality AT ISSUE]]</f>
        <v>0</v>
      </c>
      <c r="K173" s="10">
        <f>I172*Table13[[#This Row],[one-year conditional mortality AT ISSUE]]</f>
        <v>0</v>
      </c>
      <c r="L173" s="3">
        <f t="shared" si="4"/>
        <v>2.4615991981893799E-3</v>
      </c>
      <c r="M173" s="44">
        <v>1</v>
      </c>
      <c r="N173" s="44">
        <f>Table13[[#This Row],[one-year conditional mortality AT ISSUE]]/Table13[[#This Row],[one-year conditional persistency AT ISSUE]]</f>
        <v>10330577656.607809</v>
      </c>
      <c r="O173" s="4">
        <f>(1+$B$14)^(Table13[[#This Row],[age since issue]]-$A$17)</f>
        <v>214.1384070556646</v>
      </c>
      <c r="P173" s="5">
        <f>(Table13[[#This Row],[level premium unmarked-up]]*Table13[[#This Row],[unconditional persistency AT ISSUE]]-Table13[[#This Row],[Death benefit pay probability]])</f>
        <v>0</v>
      </c>
      <c r="Q173" s="4">
        <f>Table13[[#This Row],[Issuer profit with unmarked-up level premium]]/Table13[[#This Row],[Issuer discounter at issue]]</f>
        <v>0</v>
      </c>
      <c r="R173" s="4">
        <f>(Table13[[#This Row],[variable premium unmarked up]]*Table13[[#This Row],[unconditional persistency AT ISSUE]]-Table13[[#This Row],[Death benefit pay probability]])</f>
        <v>0</v>
      </c>
      <c r="S173" s="6">
        <f>Table13[[#This Row],[level premium unmarked-up]]*(1+$B$15)</f>
        <v>2.4615991981893799E-3</v>
      </c>
      <c r="T173" s="6">
        <f>MIN(Table13[[#This Row],[variable premium unmarked up]]*(1+$B$15),1)</f>
        <v>1</v>
      </c>
      <c r="U173" s="6">
        <f>Table13[[#This Row],[level premium marked up]]-Table13[[#This Row],[variable premium marked up]]</f>
        <v>-0.99753840080181067</v>
      </c>
      <c r="V173" s="6">
        <f>Table13[[#This Row],[additional cash]]+V172*(1+$D$2)</f>
        <v>-82.593766437415624</v>
      </c>
      <c r="W173" s="12">
        <v>0.5</v>
      </c>
      <c r="X173" s="13">
        <f>1-Table13[[#This Row],[one-year conditional mortality NOW]]</f>
        <v>0.5</v>
      </c>
      <c r="Y173" s="49">
        <f>PRODUCT(X$17:X173)</f>
        <v>3.0686304641950223E-13</v>
      </c>
      <c r="Z173" s="13">
        <f>Table13[[#This Row],[one-year conditional survival NOW]]*(1-Table13[[#This Row],[Lapse rate]])</f>
        <v>0.48399999999999999</v>
      </c>
      <c r="AA173" s="13">
        <f>PRODUCT(Z$17:Z173)</f>
        <v>1.6433374405291869E-14</v>
      </c>
      <c r="AB173" s="50">
        <f>Y172*Table13[[#This Row],[one-year conditional mortality NOW]]</f>
        <v>3.0686304641950223E-13</v>
      </c>
      <c r="AC173" s="14">
        <v>1.9699999999999999E-2</v>
      </c>
      <c r="AD173" s="28">
        <f>(1+Table13[[#This Row],[Yield curve now]])^(Table13[[#This Row],[age since issue]]-$B$11)</f>
        <v>5.7878562634877824</v>
      </c>
      <c r="AE173" s="46">
        <f t="shared" si="5"/>
        <v>3482.6403786533638</v>
      </c>
      <c r="AF173" s="42">
        <f>1-Table13[[#This Row],[cumulative debt until t]]</f>
        <v>-3481.6403786533638</v>
      </c>
      <c r="AG173" s="46">
        <f>Table13[[#This Row],[cumulative debt until t]]*Table13[[#This Row],[Unconditional mortality NOW]]/Table13[[#This Row],[discouter with yield curve]]</f>
        <v>1.846441216791969E-10</v>
      </c>
      <c r="AH173" s="48">
        <f>Table13[[#This Row],[Unconditional mortality NOW]]/Table13[[#This Row],[discouter with yield curve]]</f>
        <v>5.3018429008910023E-14</v>
      </c>
      <c r="AI173" s="29">
        <f>Table13[[#This Row],[user profit (death benefit - debt)]]*Table13[[#This Row],[Unconditional mortality NOW]]/Table13[[#This Row],[discouter with yield curve]]</f>
        <v>-1.8459110325018799E-10</v>
      </c>
      <c r="AJ173" s="29">
        <f>(1+$D$4)^(Table13[[#This Row],[age since issue]]-$B$11)</f>
        <v>2.4486326746484828</v>
      </c>
      <c r="AK173" s="57">
        <f>Table13[[#This Row],[level premium marked up]]*Table13[[#This Row],[unconditional survival NOW]]</f>
        <v>7.5537382902019717E-16</v>
      </c>
      <c r="AL173" s="62">
        <f>Table13[[#This Row],[cumulative debt until t]]*Table13[[#This Row],[Unconditional mortality NOW]]</f>
        <v>1.06869363617714E-9</v>
      </c>
      <c r="AM173" s="47">
        <f>Table13[[#This Row],[probablistic premium stream]]/Table13[[#This Row],[lender discounter]]</f>
        <v>3.0848801326586726E-16</v>
      </c>
      <c r="AN173" s="58">
        <f>Table13[[#This Row],[probablistic repay from borrower]]/Table13[[#This Row],[lender discounter]]</f>
        <v>4.3644506064208178E-10</v>
      </c>
      <c r="AO173" s="47">
        <f>(Table13[[#This Row],[probablistic repay from borrower]]-Table13[[#This Row],[probablistic premium stream]])/Table13[[#This Row],[lender discounter]]</f>
        <v>4.3644475215406854E-10</v>
      </c>
      <c r="AP173" s="46">
        <f>AP172*(1+$D$4)+ Table13[[#This Row],[level premium marked up]]</f>
        <v>0.36262285526713939</v>
      </c>
      <c r="AQ173" s="58">
        <f>AP173*Table13[[#This Row],[Unconditional mortality NOW]]</f>
        <v>1.1127555406861263E-13</v>
      </c>
      <c r="AR173" s="60">
        <f>Table13[[#This Row],[cumulative debt until t]]*Table13[[#This Row],[Unconditional mortality NOW]]</f>
        <v>1.06869363617714E-9</v>
      </c>
      <c r="AS173" s="58">
        <f>Table13[[#This Row],[lender to pay cumulative probablistic undiscounted]]/Table13[[#This Row],[lender discounter]]</f>
        <v>4.5443955404453209E-14</v>
      </c>
    </row>
    <row r="174" spans="1:45" s="3" customFormat="1">
      <c r="A174" s="3">
        <v>178</v>
      </c>
      <c r="B174" s="8">
        <v>3.2000000000000001E-2</v>
      </c>
      <c r="C174" s="3">
        <v>0</v>
      </c>
      <c r="D174" s="12">
        <v>3.2000000000000001E-2</v>
      </c>
      <c r="E174" s="66">
        <v>0.99999999989999999</v>
      </c>
      <c r="F174" s="13">
        <f>1-Table13[[#This Row],[one-year conditional mortality AT ISSUE]]</f>
        <v>1.000000082740371E-10</v>
      </c>
      <c r="G174" s="13">
        <f>PRODUCT(F$17:F174)</f>
        <v>0</v>
      </c>
      <c r="H174" s="13">
        <f>Table13[[#This Row],[one-year conditional survival AT ISSUE]]*(1-Table13[[#This Row],[Lapse rate]])</f>
        <v>9.6800008009267909E-11</v>
      </c>
      <c r="I174" s="13">
        <f>PRODUCT(H$17:H174)</f>
        <v>0</v>
      </c>
      <c r="J174" s="13">
        <f>G173*Table13[[#This Row],[one-year conditional mortality AT ISSUE]]</f>
        <v>0</v>
      </c>
      <c r="K174" s="10">
        <f>I173*Table13[[#This Row],[one-year conditional mortality AT ISSUE]]</f>
        <v>0</v>
      </c>
      <c r="L174" s="3">
        <f t="shared" si="4"/>
        <v>2.4615991981893799E-3</v>
      </c>
      <c r="M174" s="44">
        <v>1</v>
      </c>
      <c r="N174" s="44">
        <f>Table13[[#This Row],[one-year conditional mortality AT ISSUE]]/Table13[[#This Row],[one-year conditional persistency AT ISSUE]]</f>
        <v>10330577656.607809</v>
      </c>
      <c r="O174" s="4">
        <f>(1+$B$14)^(Table13[[#This Row],[age since issue]]-$A$17)</f>
        <v>221.63325130261282</v>
      </c>
      <c r="P174" s="5">
        <f>(Table13[[#This Row],[level premium unmarked-up]]*Table13[[#This Row],[unconditional persistency AT ISSUE]]-Table13[[#This Row],[Death benefit pay probability]])</f>
        <v>0</v>
      </c>
      <c r="Q174" s="4">
        <f>Table13[[#This Row],[Issuer profit with unmarked-up level premium]]/Table13[[#This Row],[Issuer discounter at issue]]</f>
        <v>0</v>
      </c>
      <c r="R174" s="4">
        <f>(Table13[[#This Row],[variable premium unmarked up]]*Table13[[#This Row],[unconditional persistency AT ISSUE]]-Table13[[#This Row],[Death benefit pay probability]])</f>
        <v>0</v>
      </c>
      <c r="S174" s="6">
        <f>Table13[[#This Row],[level premium unmarked-up]]*(1+$B$15)</f>
        <v>2.4615991981893799E-3</v>
      </c>
      <c r="T174" s="6">
        <f>MIN(Table13[[#This Row],[variable premium unmarked up]]*(1+$B$15),1)</f>
        <v>1</v>
      </c>
      <c r="U174" s="6">
        <f>Table13[[#This Row],[level premium marked up]]-Table13[[#This Row],[variable premium marked up]]</f>
        <v>-0.99753840080181067</v>
      </c>
      <c r="V174" s="6">
        <f>Table13[[#This Row],[additional cash]]+V173*(1+$D$2)</f>
        <v>-83.673898604654852</v>
      </c>
      <c r="W174" s="12">
        <v>0.5</v>
      </c>
      <c r="X174" s="13">
        <f>1-Table13[[#This Row],[one-year conditional mortality NOW]]</f>
        <v>0.5</v>
      </c>
      <c r="Y174" s="49">
        <f>PRODUCT(X$17:X174)</f>
        <v>1.5343152320975112E-13</v>
      </c>
      <c r="Z174" s="13">
        <f>Table13[[#This Row],[one-year conditional survival NOW]]*(1-Table13[[#This Row],[Lapse rate]])</f>
        <v>0.48399999999999999</v>
      </c>
      <c r="AA174" s="13">
        <f>PRODUCT(Z$17:Z174)</f>
        <v>7.953753212161264E-15</v>
      </c>
      <c r="AB174" s="50">
        <f>Y173*Table13[[#This Row],[one-year conditional mortality NOW]]</f>
        <v>1.5343152320975112E-13</v>
      </c>
      <c r="AC174" s="14">
        <v>1.9699999999999999E-2</v>
      </c>
      <c r="AD174" s="28">
        <f>(1+Table13[[#This Row],[Yield curve now]])^(Table13[[#This Row],[age since issue]]-$B$11)</f>
        <v>5.9018770318784917</v>
      </c>
      <c r="AE174" s="46">
        <f t="shared" si="5"/>
        <v>3983.291617284865</v>
      </c>
      <c r="AF174" s="42">
        <f>1-Table13[[#This Row],[cumulative debt until t]]</f>
        <v>-3982.291617284865</v>
      </c>
      <c r="AG174" s="46">
        <f>Table13[[#This Row],[cumulative debt until t]]*Table13[[#This Row],[Unconditional mortality NOW]]/Table13[[#This Row],[discouter with yield curve]]</f>
        <v>1.0355391969834462E-10</v>
      </c>
      <c r="AH174" s="48">
        <f>Table13[[#This Row],[Unconditional mortality NOW]]/Table13[[#This Row],[discouter with yield curve]]</f>
        <v>2.5997072182460539E-14</v>
      </c>
      <c r="AI174" s="29">
        <f>Table13[[#This Row],[user profit (death benefit - debt)]]*Table13[[#This Row],[Unconditional mortality NOW]]/Table13[[#This Row],[discouter with yield curve]]</f>
        <v>-1.0352792262616216E-10</v>
      </c>
      <c r="AJ174" s="29">
        <f>(1+$D$4)^(Table13[[#This Row],[age since issue]]-$B$11)</f>
        <v>2.4731190013949669</v>
      </c>
      <c r="AK174" s="57">
        <f>Table13[[#This Row],[level premium marked up]]*Table13[[#This Row],[unconditional survival NOW]]</f>
        <v>3.7768691451009859E-16</v>
      </c>
      <c r="AL174" s="62">
        <f>Table13[[#This Row],[cumulative debt until t]]*Table13[[#This Row],[Unconditional mortality NOW]]</f>
        <v>6.1116250022864984E-10</v>
      </c>
      <c r="AM174" s="47">
        <f>Table13[[#This Row],[probablistic premium stream]]/Table13[[#This Row],[lender discounter]]</f>
        <v>1.5271683825042937E-16</v>
      </c>
      <c r="AN174" s="58">
        <f>Table13[[#This Row],[probablistic repay from borrower]]/Table13[[#This Row],[lender discounter]]</f>
        <v>2.4712215622617537E-10</v>
      </c>
      <c r="AO174" s="47">
        <f>(Table13[[#This Row],[probablistic repay from borrower]]-Table13[[#This Row],[probablistic premium stream]])/Table13[[#This Row],[lender discounter]]</f>
        <v>2.4712200350933716E-10</v>
      </c>
      <c r="AP174" s="46">
        <f>AP173*(1+$D$4)+ Table13[[#This Row],[level premium marked up]]</f>
        <v>0.3687106830180002</v>
      </c>
      <c r="AQ174" s="58">
        <f>AP174*Table13[[#This Row],[Unconditional mortality NOW]]</f>
        <v>5.6571841719159486E-14</v>
      </c>
      <c r="AR174" s="60">
        <f>Table13[[#This Row],[cumulative debt until t]]*Table13[[#This Row],[Unconditional mortality NOW]]</f>
        <v>6.1116250022864984E-10</v>
      </c>
      <c r="AS174" s="58">
        <f>Table13[[#This Row],[lender to pay cumulative probablistic undiscounted]]/Table13[[#This Row],[lender discounter]]</f>
        <v>2.2874694540477045E-14</v>
      </c>
    </row>
    <row r="175" spans="1:45" s="3" customFormat="1">
      <c r="A175" s="3">
        <v>179</v>
      </c>
      <c r="B175" s="8">
        <v>3.2000000000000001E-2</v>
      </c>
      <c r="C175" s="3">
        <v>0</v>
      </c>
      <c r="D175" s="12">
        <v>3.2000000000000001E-2</v>
      </c>
      <c r="E175" s="66">
        <v>0.99999999989999999</v>
      </c>
      <c r="F175" s="13">
        <f>1-Table13[[#This Row],[one-year conditional mortality AT ISSUE]]</f>
        <v>1.000000082740371E-10</v>
      </c>
      <c r="G175" s="13">
        <f>PRODUCT(F$17:F175)</f>
        <v>0</v>
      </c>
      <c r="H175" s="13">
        <f>Table13[[#This Row],[one-year conditional survival AT ISSUE]]*(1-Table13[[#This Row],[Lapse rate]])</f>
        <v>9.6800008009267909E-11</v>
      </c>
      <c r="I175" s="13">
        <f>PRODUCT(H$17:H175)</f>
        <v>0</v>
      </c>
      <c r="J175" s="13">
        <f>G174*Table13[[#This Row],[one-year conditional mortality AT ISSUE]]</f>
        <v>0</v>
      </c>
      <c r="K175" s="10">
        <f>I174*Table13[[#This Row],[one-year conditional mortality AT ISSUE]]</f>
        <v>0</v>
      </c>
      <c r="L175" s="3">
        <f t="shared" si="4"/>
        <v>2.4615991981893799E-3</v>
      </c>
      <c r="M175" s="44">
        <v>1</v>
      </c>
      <c r="N175" s="44">
        <f>Table13[[#This Row],[one-year conditional mortality AT ISSUE]]/Table13[[#This Row],[one-year conditional persistency AT ISSUE]]</f>
        <v>10330577656.607809</v>
      </c>
      <c r="O175" s="4">
        <f>(1+$B$14)^(Table13[[#This Row],[age since issue]]-$A$17)</f>
        <v>229.39041509820427</v>
      </c>
      <c r="P175" s="5">
        <f>(Table13[[#This Row],[level premium unmarked-up]]*Table13[[#This Row],[unconditional persistency AT ISSUE]]-Table13[[#This Row],[Death benefit pay probability]])</f>
        <v>0</v>
      </c>
      <c r="Q175" s="4">
        <f>Table13[[#This Row],[Issuer profit with unmarked-up level premium]]/Table13[[#This Row],[Issuer discounter at issue]]</f>
        <v>0</v>
      </c>
      <c r="R175" s="4">
        <f>(Table13[[#This Row],[variable premium unmarked up]]*Table13[[#This Row],[unconditional persistency AT ISSUE]]-Table13[[#This Row],[Death benefit pay probability]])</f>
        <v>0</v>
      </c>
      <c r="S175" s="6">
        <f>Table13[[#This Row],[level premium unmarked-up]]*(1+$B$15)</f>
        <v>2.4615991981893799E-3</v>
      </c>
      <c r="T175" s="6">
        <f>MIN(Table13[[#This Row],[variable premium unmarked up]]*(1+$B$15),1)</f>
        <v>1</v>
      </c>
      <c r="U175" s="6">
        <f>Table13[[#This Row],[level premium marked up]]-Table13[[#This Row],[variable premium marked up]]</f>
        <v>-0.99753840080181067</v>
      </c>
      <c r="V175" s="6">
        <f>Table13[[#This Row],[additional cash]]+V174*(1+$D$2)</f>
        <v>-84.755110904061311</v>
      </c>
      <c r="W175" s="12">
        <v>0.5</v>
      </c>
      <c r="X175" s="13">
        <f>1-Table13[[#This Row],[one-year conditional mortality NOW]]</f>
        <v>0.5</v>
      </c>
      <c r="Y175" s="49">
        <f>PRODUCT(X$17:X175)</f>
        <v>7.6715761604875558E-14</v>
      </c>
      <c r="Z175" s="13">
        <f>Table13[[#This Row],[one-year conditional survival NOW]]*(1-Table13[[#This Row],[Lapse rate]])</f>
        <v>0.48399999999999999</v>
      </c>
      <c r="AA175" s="13">
        <f>PRODUCT(Z$17:Z175)</f>
        <v>3.8496165546860518E-15</v>
      </c>
      <c r="AB175" s="50">
        <f>Y174*Table13[[#This Row],[one-year conditional mortality NOW]]</f>
        <v>7.6715761604875558E-14</v>
      </c>
      <c r="AC175" s="14">
        <v>1.9699999999999999E-2</v>
      </c>
      <c r="AD175" s="28">
        <f>(1+Table13[[#This Row],[Yield curve now]])^(Table13[[#This Row],[age since issue]]-$B$11)</f>
        <v>6.0181440094064991</v>
      </c>
      <c r="AE175" s="46">
        <f t="shared" si="5"/>
        <v>4555.9141839674476</v>
      </c>
      <c r="AF175" s="42">
        <f>1-Table13[[#This Row],[cumulative debt until t]]</f>
        <v>-4554.9141839674476</v>
      </c>
      <c r="AG175" s="46">
        <f>Table13[[#This Row],[cumulative debt until t]]*Table13[[#This Row],[Unconditional mortality NOW]]/Table13[[#This Row],[discouter with yield curve]]</f>
        <v>5.8076115474010746E-11</v>
      </c>
      <c r="AH175" s="48">
        <f>Table13[[#This Row],[Unconditional mortality NOW]]/Table13[[#This Row],[discouter with yield curve]]</f>
        <v>1.2747412073384592E-14</v>
      </c>
      <c r="AI175" s="29">
        <f>Table13[[#This Row],[user profit (death benefit - debt)]]*Table13[[#This Row],[Unconditional mortality NOW]]/Table13[[#This Row],[discouter with yield curve]]</f>
        <v>-5.8063368061937368E-11</v>
      </c>
      <c r="AJ175" s="29">
        <f>(1+$D$4)^(Table13[[#This Row],[age since issue]]-$B$11)</f>
        <v>2.4978501914089164</v>
      </c>
      <c r="AK175" s="57">
        <f>Table13[[#This Row],[level premium marked up]]*Table13[[#This Row],[unconditional survival NOW]]</f>
        <v>1.8884345725504929E-16</v>
      </c>
      <c r="AL175" s="62">
        <f>Table13[[#This Row],[cumulative debt until t]]*Table13[[#This Row],[Unconditional mortality NOW]]</f>
        <v>3.4951042642951787E-10</v>
      </c>
      <c r="AM175" s="47">
        <f>Table13[[#This Row],[probablistic premium stream]]/Table13[[#This Row],[lender discounter]]</f>
        <v>7.5602395173479892E-17</v>
      </c>
      <c r="AN175" s="58">
        <f>Table13[[#This Row],[probablistic repay from borrower]]/Table13[[#This Row],[lender discounter]]</f>
        <v>1.3992449492432369E-10</v>
      </c>
      <c r="AO175" s="47">
        <f>(Table13[[#This Row],[probablistic repay from borrower]]-Table13[[#This Row],[probablistic premium stream]])/Table13[[#This Row],[lender discounter]]</f>
        <v>1.3992441932192853E-10</v>
      </c>
      <c r="AP175" s="46">
        <f>AP174*(1+$D$4)+ Table13[[#This Row],[level premium marked up]]</f>
        <v>0.37485938904636962</v>
      </c>
      <c r="AQ175" s="58">
        <f>AP175*Table13[[#This Row],[Unconditional mortality NOW]]</f>
        <v>2.8757623525430589E-14</v>
      </c>
      <c r="AR175" s="60">
        <f>Table13[[#This Row],[cumulative debt until t]]*Table13[[#This Row],[Unconditional mortality NOW]]</f>
        <v>3.4951042642951787E-10</v>
      </c>
      <c r="AS175" s="58">
        <f>Table13[[#This Row],[lender to pay cumulative probablistic undiscounted]]/Table13[[#This Row],[lender discounter]]</f>
        <v>1.1512949665412001E-14</v>
      </c>
    </row>
    <row r="176" spans="1:45" s="3" customFormat="1">
      <c r="A176" s="3">
        <v>180</v>
      </c>
      <c r="B176" s="8">
        <v>3.2000000000000001E-2</v>
      </c>
      <c r="C176" s="3">
        <v>0</v>
      </c>
      <c r="D176" s="12">
        <v>3.2000000000000001E-2</v>
      </c>
      <c r="E176" s="66">
        <v>0.99999999989999999</v>
      </c>
      <c r="F176" s="13">
        <f>1-Table13[[#This Row],[one-year conditional mortality AT ISSUE]]</f>
        <v>1.000000082740371E-10</v>
      </c>
      <c r="G176" s="13">
        <f>PRODUCT(F$17:F176)</f>
        <v>0</v>
      </c>
      <c r="H176" s="13">
        <f>Table13[[#This Row],[one-year conditional survival AT ISSUE]]*(1-Table13[[#This Row],[Lapse rate]])</f>
        <v>9.6800008009267909E-11</v>
      </c>
      <c r="I176" s="13">
        <f>PRODUCT(H$17:H176)</f>
        <v>0</v>
      </c>
      <c r="J176" s="13">
        <f>G175*Table13[[#This Row],[one-year conditional mortality AT ISSUE]]</f>
        <v>0</v>
      </c>
      <c r="K176" s="10">
        <f>I175*Table13[[#This Row],[one-year conditional mortality AT ISSUE]]</f>
        <v>0</v>
      </c>
      <c r="L176" s="3">
        <f t="shared" si="4"/>
        <v>2.4615991981893799E-3</v>
      </c>
      <c r="M176" s="44">
        <v>1</v>
      </c>
      <c r="N176" s="44">
        <f>Table13[[#This Row],[one-year conditional mortality AT ISSUE]]/Table13[[#This Row],[one-year conditional persistency AT ISSUE]]</f>
        <v>10330577656.607809</v>
      </c>
      <c r="O176" s="4">
        <f>(1+$B$14)^(Table13[[#This Row],[age since issue]]-$A$17)</f>
        <v>237.41907962664141</v>
      </c>
      <c r="P176" s="5">
        <f>(Table13[[#This Row],[level premium unmarked-up]]*Table13[[#This Row],[unconditional persistency AT ISSUE]]-Table13[[#This Row],[Death benefit pay probability]])</f>
        <v>0</v>
      </c>
      <c r="Q176" s="4">
        <f>Table13[[#This Row],[Issuer profit with unmarked-up level premium]]/Table13[[#This Row],[Issuer discounter at issue]]</f>
        <v>0</v>
      </c>
      <c r="R176" s="4">
        <f>(Table13[[#This Row],[variable premium unmarked up]]*Table13[[#This Row],[unconditional persistency AT ISSUE]]-Table13[[#This Row],[Death benefit pay probability]])</f>
        <v>0</v>
      </c>
      <c r="S176" s="6">
        <f>Table13[[#This Row],[level premium unmarked-up]]*(1+$B$15)</f>
        <v>2.4615991981893799E-3</v>
      </c>
      <c r="T176" s="6">
        <f>MIN(Table13[[#This Row],[variable premium unmarked up]]*(1+$B$15),1)</f>
        <v>1</v>
      </c>
      <c r="U176" s="6">
        <f>Table13[[#This Row],[level premium marked up]]-Table13[[#This Row],[variable premium marked up]]</f>
        <v>-0.99753840080181067</v>
      </c>
      <c r="V176" s="6">
        <f>Table13[[#This Row],[additional cash]]+V175*(1+$D$2)</f>
        <v>-85.837404415767182</v>
      </c>
      <c r="W176" s="12">
        <v>0.5</v>
      </c>
      <c r="X176" s="13">
        <f>1-Table13[[#This Row],[one-year conditional mortality NOW]]</f>
        <v>0.5</v>
      </c>
      <c r="Y176" s="49">
        <f>PRODUCT(X$17:X176)</f>
        <v>3.8357880802437779E-14</v>
      </c>
      <c r="Z176" s="13">
        <f>Table13[[#This Row],[one-year conditional survival NOW]]*(1-Table13[[#This Row],[Lapse rate]])</f>
        <v>0.48399999999999999</v>
      </c>
      <c r="AA176" s="13">
        <f>PRODUCT(Z$17:Z176)</f>
        <v>1.8632144124680489E-15</v>
      </c>
      <c r="AB176" s="50">
        <f>Y175*Table13[[#This Row],[one-year conditional mortality NOW]]</f>
        <v>3.8357880802437779E-14</v>
      </c>
      <c r="AC176" s="14">
        <v>1.9699999999999999E-2</v>
      </c>
      <c r="AD176" s="28">
        <f>(1+Table13[[#This Row],[Yield curve now]])^(Table13[[#This Row],[age since issue]]-$B$11)</f>
        <v>6.1367014463918066</v>
      </c>
      <c r="AE176" s="46">
        <f t="shared" si="5"/>
        <v>5210.8543470447103</v>
      </c>
      <c r="AF176" s="42">
        <f>1-Table13[[#This Row],[cumulative debt until t]]</f>
        <v>-5209.8543470447103</v>
      </c>
      <c r="AG176" s="46">
        <f>Table13[[#This Row],[cumulative debt until t]]*Table13[[#This Row],[Unconditional mortality NOW]]/Table13[[#This Row],[discouter with yield curve]]</f>
        <v>3.2570808873279554E-11</v>
      </c>
      <c r="AH176" s="48">
        <f>Table13[[#This Row],[Unconditional mortality NOW]]/Table13[[#This Row],[discouter with yield curve]]</f>
        <v>6.250569811407567E-15</v>
      </c>
      <c r="AI176" s="29">
        <f>Table13[[#This Row],[user profit (death benefit - debt)]]*Table13[[#This Row],[Unconditional mortality NOW]]/Table13[[#This Row],[discouter with yield curve]]</f>
        <v>-3.2564558303468148E-11</v>
      </c>
      <c r="AJ176" s="29">
        <f>(1+$D$4)^(Table13[[#This Row],[age since issue]]-$B$11)</f>
        <v>2.5228286933230057</v>
      </c>
      <c r="AK176" s="57">
        <f>Table13[[#This Row],[level premium marked up]]*Table13[[#This Row],[unconditional survival NOW]]</f>
        <v>9.4421728627524647E-17</v>
      </c>
      <c r="AL176" s="62">
        <f>Table13[[#This Row],[cumulative debt until t]]*Table13[[#This Row],[Unconditional mortality NOW]]</f>
        <v>1.9987732992280573E-10</v>
      </c>
      <c r="AM176" s="47">
        <f>Table13[[#This Row],[probablistic premium stream]]/Table13[[#This Row],[lender discounter]]</f>
        <v>3.7426928303702914E-17</v>
      </c>
      <c r="AN176" s="58">
        <f>Table13[[#This Row],[probablistic repay from borrower]]/Table13[[#This Row],[lender discounter]]</f>
        <v>7.9227468139952219E-11</v>
      </c>
      <c r="AO176" s="47">
        <f>(Table13[[#This Row],[probablistic repay from borrower]]-Table13[[#This Row],[probablistic premium stream]])/Table13[[#This Row],[lender discounter]]</f>
        <v>7.9227430713023921E-11</v>
      </c>
      <c r="AP176" s="46">
        <f>AP175*(1+$D$4)+ Table13[[#This Row],[level premium marked up]]</f>
        <v>0.38106958213502273</v>
      </c>
      <c r="AQ176" s="58">
        <f>AP176*Table13[[#This Row],[Unconditional mortality NOW]]</f>
        <v>1.4617021608969975E-14</v>
      </c>
      <c r="AR176" s="60">
        <f>Table13[[#This Row],[cumulative debt until t]]*Table13[[#This Row],[Unconditional mortality NOW]]</f>
        <v>1.9987732992280573E-10</v>
      </c>
      <c r="AS176" s="58">
        <f>Table13[[#This Row],[lender to pay cumulative probablistic undiscounted]]/Table13[[#This Row],[lender discounter]]</f>
        <v>5.7939017610097043E-15</v>
      </c>
    </row>
    <row r="177" spans="1:45" s="3" customFormat="1">
      <c r="A177" s="3">
        <v>181</v>
      </c>
      <c r="B177" s="8">
        <v>3.2000000000000001E-2</v>
      </c>
      <c r="C177" s="3">
        <v>0</v>
      </c>
      <c r="D177" s="12">
        <v>3.2000000000000001E-2</v>
      </c>
      <c r="E177" s="66">
        <v>0.99999999989999999</v>
      </c>
      <c r="F177" s="13">
        <f>1-Table13[[#This Row],[one-year conditional mortality AT ISSUE]]</f>
        <v>1.000000082740371E-10</v>
      </c>
      <c r="G177" s="13">
        <f>PRODUCT(F$17:F177)</f>
        <v>0</v>
      </c>
      <c r="H177" s="13">
        <f>Table13[[#This Row],[one-year conditional survival AT ISSUE]]*(1-Table13[[#This Row],[Lapse rate]])</f>
        <v>9.6800008009267909E-11</v>
      </c>
      <c r="I177" s="13">
        <f>PRODUCT(H$17:H177)</f>
        <v>0</v>
      </c>
      <c r="J177" s="13">
        <f>G176*Table13[[#This Row],[one-year conditional mortality AT ISSUE]]</f>
        <v>0</v>
      </c>
      <c r="K177" s="10">
        <f>I176*Table13[[#This Row],[one-year conditional mortality AT ISSUE]]</f>
        <v>0</v>
      </c>
      <c r="L177" s="3">
        <f t="shared" si="4"/>
        <v>2.4615991981893799E-3</v>
      </c>
      <c r="M177" s="44">
        <v>1</v>
      </c>
      <c r="N177" s="44">
        <f>Table13[[#This Row],[one-year conditional mortality AT ISSUE]]/Table13[[#This Row],[one-year conditional persistency AT ISSUE]]</f>
        <v>10330577656.607809</v>
      </c>
      <c r="O177" s="4">
        <f>(1+$B$14)^(Table13[[#This Row],[age since issue]]-$A$17)</f>
        <v>245.72874741357379</v>
      </c>
      <c r="P177" s="5">
        <f>(Table13[[#This Row],[level premium unmarked-up]]*Table13[[#This Row],[unconditional persistency AT ISSUE]]-Table13[[#This Row],[Death benefit pay probability]])</f>
        <v>0</v>
      </c>
      <c r="Q177" s="4">
        <f>Table13[[#This Row],[Issuer profit with unmarked-up level premium]]/Table13[[#This Row],[Issuer discounter at issue]]</f>
        <v>0</v>
      </c>
      <c r="R177" s="4">
        <f>(Table13[[#This Row],[variable premium unmarked up]]*Table13[[#This Row],[unconditional persistency AT ISSUE]]-Table13[[#This Row],[Death benefit pay probability]])</f>
        <v>0</v>
      </c>
      <c r="S177" s="6">
        <f>Table13[[#This Row],[level premium unmarked-up]]*(1+$B$15)</f>
        <v>2.4615991981893799E-3</v>
      </c>
      <c r="T177" s="6">
        <f>MIN(Table13[[#This Row],[variable premium unmarked up]]*(1+$B$15),1)</f>
        <v>1</v>
      </c>
      <c r="U177" s="6">
        <f>Table13[[#This Row],[level premium marked up]]-Table13[[#This Row],[variable premium marked up]]</f>
        <v>-0.99753840080181067</v>
      </c>
      <c r="V177" s="6">
        <f>Table13[[#This Row],[additional cash]]+V176*(1+$D$2)</f>
        <v>-86.920780220984753</v>
      </c>
      <c r="W177" s="12">
        <v>0.5</v>
      </c>
      <c r="X177" s="13">
        <f>1-Table13[[#This Row],[one-year conditional mortality NOW]]</f>
        <v>0.5</v>
      </c>
      <c r="Y177" s="49">
        <f>PRODUCT(X$17:X177)</f>
        <v>1.9178940401218889E-14</v>
      </c>
      <c r="Z177" s="13">
        <f>Table13[[#This Row],[one-year conditional survival NOW]]*(1-Table13[[#This Row],[Lapse rate]])</f>
        <v>0.48399999999999999</v>
      </c>
      <c r="AA177" s="13">
        <f>PRODUCT(Z$17:Z177)</f>
        <v>9.017957756345356E-16</v>
      </c>
      <c r="AB177" s="50">
        <f>Y176*Table13[[#This Row],[one-year conditional mortality NOW]]</f>
        <v>1.9178940401218889E-14</v>
      </c>
      <c r="AC177" s="14">
        <v>1.9699999999999999E-2</v>
      </c>
      <c r="AD177" s="28">
        <f>(1+Table13[[#This Row],[Yield curve now]])^(Table13[[#This Row],[age since issue]]-$B$11)</f>
        <v>6.2575944648857256</v>
      </c>
      <c r="AE177" s="46">
        <f t="shared" si="5"/>
        <v>5959.9457069900927</v>
      </c>
      <c r="AF177" s="42">
        <f>1-Table13[[#This Row],[cumulative debt until t]]</f>
        <v>-5958.9457069900927</v>
      </c>
      <c r="AG177" s="46">
        <f>Table13[[#This Row],[cumulative debt until t]]*Table13[[#This Row],[Unconditional mortality NOW]]/Table13[[#This Row],[discouter with yield curve]]</f>
        <v>1.8266674862087086E-11</v>
      </c>
      <c r="AH177" s="48">
        <f>Table13[[#This Row],[Unconditional mortality NOW]]/Table13[[#This Row],[discouter with yield curve]]</f>
        <v>3.0649062525289629E-15</v>
      </c>
      <c r="AI177" s="29">
        <f>Table13[[#This Row],[user profit (death benefit - debt)]]*Table13[[#This Row],[Unconditional mortality NOW]]/Table13[[#This Row],[discouter with yield curve]]</f>
        <v>-1.8263609955834556E-11</v>
      </c>
      <c r="AJ177" s="29">
        <f>(1+$D$4)^(Table13[[#This Row],[age since issue]]-$B$11)</f>
        <v>2.5480569802562365</v>
      </c>
      <c r="AK177" s="57">
        <f>Table13[[#This Row],[level premium marked up]]*Table13[[#This Row],[unconditional survival NOW]]</f>
        <v>4.7210864313762323E-17</v>
      </c>
      <c r="AL177" s="62">
        <f>Table13[[#This Row],[cumulative debt until t]]*Table13[[#This Row],[Unconditional mortality NOW]]</f>
        <v>1.1430544350886337E-10</v>
      </c>
      <c r="AM177" s="47">
        <f>Table13[[#This Row],[probablistic premium stream]]/Table13[[#This Row],[lender discounter]]</f>
        <v>1.8528182328565796E-17</v>
      </c>
      <c r="AN177" s="58">
        <f>Table13[[#This Row],[probablistic repay from borrower]]/Table13[[#This Row],[lender discounter]]</f>
        <v>4.4859845911832255E-11</v>
      </c>
      <c r="AO177" s="47">
        <f>(Table13[[#This Row],[probablistic repay from borrower]]-Table13[[#This Row],[probablistic premium stream]])/Table13[[#This Row],[lender discounter]]</f>
        <v>4.4859827383649927E-11</v>
      </c>
      <c r="AP177" s="46">
        <f>AP176*(1+$D$4)+ Table13[[#This Row],[level premium marked up]]</f>
        <v>0.38734187715456236</v>
      </c>
      <c r="AQ177" s="58">
        <f>AP177*Table13[[#This Row],[Unconditional mortality NOW]]</f>
        <v>7.4288067768436002E-15</v>
      </c>
      <c r="AR177" s="60">
        <f>Table13[[#This Row],[cumulative debt until t]]*Table13[[#This Row],[Unconditional mortality NOW]]</f>
        <v>1.1430544350886337E-10</v>
      </c>
      <c r="AS177" s="58">
        <f>Table13[[#This Row],[lender to pay cumulative probablistic undiscounted]]/Table13[[#This Row],[lender discounter]]</f>
        <v>2.9154790628334176E-15</v>
      </c>
    </row>
    <row r="178" spans="1:45" s="3" customFormat="1">
      <c r="A178" s="3">
        <v>182</v>
      </c>
      <c r="B178" s="8">
        <v>3.2000000000000001E-2</v>
      </c>
      <c r="C178" s="3">
        <v>0</v>
      </c>
      <c r="D178" s="12">
        <v>3.2000000000000001E-2</v>
      </c>
      <c r="E178" s="66">
        <v>0.99999999989999999</v>
      </c>
      <c r="F178" s="13">
        <f>1-Table13[[#This Row],[one-year conditional mortality AT ISSUE]]</f>
        <v>1.000000082740371E-10</v>
      </c>
      <c r="G178" s="13">
        <f>PRODUCT(F$17:F178)</f>
        <v>0</v>
      </c>
      <c r="H178" s="13">
        <f>Table13[[#This Row],[one-year conditional survival AT ISSUE]]*(1-Table13[[#This Row],[Lapse rate]])</f>
        <v>9.6800008009267909E-11</v>
      </c>
      <c r="I178" s="13">
        <f>PRODUCT(H$17:H178)</f>
        <v>0</v>
      </c>
      <c r="J178" s="13">
        <f>G177*Table13[[#This Row],[one-year conditional mortality AT ISSUE]]</f>
        <v>0</v>
      </c>
      <c r="K178" s="10">
        <f>I177*Table13[[#This Row],[one-year conditional mortality AT ISSUE]]</f>
        <v>0</v>
      </c>
      <c r="L178" s="3">
        <f t="shared" si="4"/>
        <v>2.4615991981893799E-3</v>
      </c>
      <c r="M178" s="44">
        <v>1</v>
      </c>
      <c r="N178" s="44">
        <f>Table13[[#This Row],[one-year conditional mortality AT ISSUE]]/Table13[[#This Row],[one-year conditional persistency AT ISSUE]]</f>
        <v>10330577656.607809</v>
      </c>
      <c r="O178" s="4">
        <f>(1+$B$14)^(Table13[[#This Row],[age since issue]]-$A$17)</f>
        <v>254.32925357304885</v>
      </c>
      <c r="P178" s="5">
        <f>(Table13[[#This Row],[level premium unmarked-up]]*Table13[[#This Row],[unconditional persistency AT ISSUE]]-Table13[[#This Row],[Death benefit pay probability]])</f>
        <v>0</v>
      </c>
      <c r="Q178" s="4">
        <f>Table13[[#This Row],[Issuer profit with unmarked-up level premium]]/Table13[[#This Row],[Issuer discounter at issue]]</f>
        <v>0</v>
      </c>
      <c r="R178" s="4">
        <f>(Table13[[#This Row],[variable premium unmarked up]]*Table13[[#This Row],[unconditional persistency AT ISSUE]]-Table13[[#This Row],[Death benefit pay probability]])</f>
        <v>0</v>
      </c>
      <c r="S178" s="6">
        <f>Table13[[#This Row],[level premium unmarked-up]]*(1+$B$15)</f>
        <v>2.4615991981893799E-3</v>
      </c>
      <c r="T178" s="6">
        <f>MIN(Table13[[#This Row],[variable premium unmarked up]]*(1+$B$15),1)</f>
        <v>1</v>
      </c>
      <c r="U178" s="6">
        <f>Table13[[#This Row],[level premium marked up]]-Table13[[#This Row],[variable premium marked up]]</f>
        <v>-0.99753840080181067</v>
      </c>
      <c r="V178" s="6">
        <f>Table13[[#This Row],[additional cash]]+V177*(1+$D$2)</f>
        <v>-88.005239402007547</v>
      </c>
      <c r="W178" s="12">
        <v>0.5</v>
      </c>
      <c r="X178" s="13">
        <f>1-Table13[[#This Row],[one-year conditional mortality NOW]]</f>
        <v>0.5</v>
      </c>
      <c r="Y178" s="49">
        <f>PRODUCT(X$17:X178)</f>
        <v>9.5894702006094447E-15</v>
      </c>
      <c r="Z178" s="13">
        <f>Table13[[#This Row],[one-year conditional survival NOW]]*(1-Table13[[#This Row],[Lapse rate]])</f>
        <v>0.48399999999999999</v>
      </c>
      <c r="AA178" s="13">
        <f>PRODUCT(Z$17:Z178)</f>
        <v>4.3646915540711521E-16</v>
      </c>
      <c r="AB178" s="50">
        <f>Y177*Table13[[#This Row],[one-year conditional mortality NOW]]</f>
        <v>9.5894702006094447E-15</v>
      </c>
      <c r="AC178" s="14">
        <v>1.9699999999999999E-2</v>
      </c>
      <c r="AD178" s="28">
        <f>(1+Table13[[#This Row],[Yield curve now]])^(Table13[[#This Row],[age since issue]]-$B$11)</f>
        <v>6.3808690758439743</v>
      </c>
      <c r="AE178" s="46">
        <f t="shared" si="5"/>
        <v>6816.7230084588164</v>
      </c>
      <c r="AF178" s="42">
        <f>1-Table13[[#This Row],[cumulative debt until t]]</f>
        <v>-6815.7230084588164</v>
      </c>
      <c r="AG178" s="46">
        <f>Table13[[#This Row],[cumulative debt until t]]*Table13[[#This Row],[Unconditional mortality NOW]]/Table13[[#This Row],[discouter with yield curve]]</f>
        <v>1.0244491992930994E-11</v>
      </c>
      <c r="AH178" s="48">
        <f>Table13[[#This Row],[Unconditional mortality NOW]]/Table13[[#This Row],[discouter with yield curve]]</f>
        <v>1.5028470395846634E-15</v>
      </c>
      <c r="AI178" s="29">
        <f>Table13[[#This Row],[user profit (death benefit - debt)]]*Table13[[#This Row],[Unconditional mortality NOW]]/Table13[[#This Row],[discouter with yield curve]]</f>
        <v>-1.0242989145891409E-11</v>
      </c>
      <c r="AJ178" s="29">
        <f>(1+$D$4)^(Table13[[#This Row],[age since issue]]-$B$11)</f>
        <v>2.573537550058798</v>
      </c>
      <c r="AK178" s="57">
        <f>Table13[[#This Row],[level premium marked up]]*Table13[[#This Row],[unconditional survival NOW]]</f>
        <v>2.3605432156881162E-17</v>
      </c>
      <c r="AL178" s="62">
        <f>Table13[[#This Row],[cumulative debt until t]]*Table13[[#This Row],[Unconditional mortality NOW]]</f>
        <v>6.5368762155424587E-11</v>
      </c>
      <c r="AM178" s="47">
        <f>Table13[[#This Row],[probablistic premium stream]]/Table13[[#This Row],[lender discounter]]</f>
        <v>9.1723674893890107E-18</v>
      </c>
      <c r="AN178" s="58">
        <f>Table13[[#This Row],[probablistic repay from borrower]]/Table13[[#This Row],[lender discounter]]</f>
        <v>2.5400352970925601E-11</v>
      </c>
      <c r="AO178" s="47">
        <f>(Table13[[#This Row],[probablistic repay from borrower]]-Table13[[#This Row],[probablistic premium stream]])/Table13[[#This Row],[lender discounter]]</f>
        <v>2.540034379855811E-11</v>
      </c>
      <c r="AP178" s="46">
        <f>AP177*(1+$D$4)+ Table13[[#This Row],[level premium marked up]]</f>
        <v>0.39367689512429738</v>
      </c>
      <c r="AQ178" s="58">
        <f>AP178*Table13[[#This Row],[Unconditional mortality NOW]]</f>
        <v>3.7751528544628994E-15</v>
      </c>
      <c r="AR178" s="60">
        <f>Table13[[#This Row],[cumulative debt until t]]*Table13[[#This Row],[Unconditional mortality NOW]]</f>
        <v>6.5368762155424587E-11</v>
      </c>
      <c r="AS178" s="58">
        <f>Table13[[#This Row],[lender to pay cumulative probablistic undiscounted]]/Table13[[#This Row],[lender discounter]]</f>
        <v>1.4669118989060983E-15</v>
      </c>
    </row>
    <row r="179" spans="1:45" s="3" customFormat="1">
      <c r="A179" s="3">
        <v>183</v>
      </c>
      <c r="B179" s="8">
        <v>3.2000000000000001E-2</v>
      </c>
      <c r="C179" s="3">
        <v>0</v>
      </c>
      <c r="D179" s="12">
        <v>3.2000000000000001E-2</v>
      </c>
      <c r="E179" s="66">
        <v>0.99999999989999999</v>
      </c>
      <c r="F179" s="13">
        <f>1-Table13[[#This Row],[one-year conditional mortality AT ISSUE]]</f>
        <v>1.000000082740371E-10</v>
      </c>
      <c r="G179" s="13">
        <f>PRODUCT(F$17:F179)</f>
        <v>0</v>
      </c>
      <c r="H179" s="13">
        <f>Table13[[#This Row],[one-year conditional survival AT ISSUE]]*(1-Table13[[#This Row],[Lapse rate]])</f>
        <v>9.6800008009267909E-11</v>
      </c>
      <c r="I179" s="13">
        <f>PRODUCT(H$17:H179)</f>
        <v>0</v>
      </c>
      <c r="J179" s="13">
        <f>G178*Table13[[#This Row],[one-year conditional mortality AT ISSUE]]</f>
        <v>0</v>
      </c>
      <c r="K179" s="10">
        <f>I178*Table13[[#This Row],[one-year conditional mortality AT ISSUE]]</f>
        <v>0</v>
      </c>
      <c r="L179" s="3">
        <f t="shared" si="4"/>
        <v>2.4615991981893799E-3</v>
      </c>
      <c r="M179" s="44">
        <v>1</v>
      </c>
      <c r="N179" s="44">
        <f>Table13[[#This Row],[one-year conditional mortality AT ISSUE]]/Table13[[#This Row],[one-year conditional persistency AT ISSUE]]</f>
        <v>10330577656.607809</v>
      </c>
      <c r="O179" s="4">
        <f>(1+$B$14)^(Table13[[#This Row],[age since issue]]-$A$17)</f>
        <v>263.23077744810553</v>
      </c>
      <c r="P179" s="5">
        <f>(Table13[[#This Row],[level premium unmarked-up]]*Table13[[#This Row],[unconditional persistency AT ISSUE]]-Table13[[#This Row],[Death benefit pay probability]])</f>
        <v>0</v>
      </c>
      <c r="Q179" s="4">
        <f>Table13[[#This Row],[Issuer profit with unmarked-up level premium]]/Table13[[#This Row],[Issuer discounter at issue]]</f>
        <v>0</v>
      </c>
      <c r="R179" s="4">
        <f>(Table13[[#This Row],[variable premium unmarked up]]*Table13[[#This Row],[unconditional persistency AT ISSUE]]-Table13[[#This Row],[Death benefit pay probability]])</f>
        <v>0</v>
      </c>
      <c r="S179" s="6">
        <f>Table13[[#This Row],[level premium unmarked-up]]*(1+$B$15)</f>
        <v>2.4615991981893799E-3</v>
      </c>
      <c r="T179" s="6">
        <f>MIN(Table13[[#This Row],[variable premium unmarked up]]*(1+$B$15),1)</f>
        <v>1</v>
      </c>
      <c r="U179" s="6">
        <f>Table13[[#This Row],[level premium marked up]]-Table13[[#This Row],[variable premium marked up]]</f>
        <v>-0.99753840080181067</v>
      </c>
      <c r="V179" s="6">
        <f>Table13[[#This Row],[additional cash]]+V178*(1+$D$2)</f>
        <v>-89.090783042211356</v>
      </c>
      <c r="W179" s="12">
        <v>0.5</v>
      </c>
      <c r="X179" s="13">
        <f>1-Table13[[#This Row],[one-year conditional mortality NOW]]</f>
        <v>0.5</v>
      </c>
      <c r="Y179" s="49">
        <f>PRODUCT(X$17:X179)</f>
        <v>4.7947351003047224E-15</v>
      </c>
      <c r="Z179" s="13">
        <f>Table13[[#This Row],[one-year conditional survival NOW]]*(1-Table13[[#This Row],[Lapse rate]])</f>
        <v>0.48399999999999999</v>
      </c>
      <c r="AA179" s="13">
        <f>PRODUCT(Z$17:Z179)</f>
        <v>2.1125107121704377E-16</v>
      </c>
      <c r="AB179" s="50">
        <f>Y178*Table13[[#This Row],[one-year conditional mortality NOW]]</f>
        <v>4.7947351003047224E-15</v>
      </c>
      <c r="AC179" s="14">
        <v>1.9699999999999999E-2</v>
      </c>
      <c r="AD179" s="28">
        <f>(1+Table13[[#This Row],[Yield curve now]])^(Table13[[#This Row],[age since issue]]-$B$11)</f>
        <v>6.5065721966381007</v>
      </c>
      <c r="AE179" s="46">
        <f t="shared" si="5"/>
        <v>7796.6666889807093</v>
      </c>
      <c r="AF179" s="42">
        <f>1-Table13[[#This Row],[cumulative debt until t]]</f>
        <v>-7795.6666889807093</v>
      </c>
      <c r="AG179" s="46">
        <f>Table13[[#This Row],[cumulative debt until t]]*Table13[[#This Row],[Unconditional mortality NOW]]/Table13[[#This Row],[discouter with yield curve]]</f>
        <v>5.7454140689237123E-12</v>
      </c>
      <c r="AH179" s="48">
        <f>Table13[[#This Row],[Unconditional mortality NOW]]/Table13[[#This Row],[discouter with yield curve]]</f>
        <v>7.369064624814472E-16</v>
      </c>
      <c r="AI179" s="29">
        <f>Table13[[#This Row],[user profit (death benefit - debt)]]*Table13[[#This Row],[Unconditional mortality NOW]]/Table13[[#This Row],[discouter with yield curve]]</f>
        <v>-5.7446771624612308E-12</v>
      </c>
      <c r="AJ179" s="29">
        <f>(1+$D$4)^(Table13[[#This Row],[age since issue]]-$B$11)</f>
        <v>2.5992729255593865</v>
      </c>
      <c r="AK179" s="57">
        <f>Table13[[#This Row],[level premium marked up]]*Table13[[#This Row],[unconditional survival NOW]]</f>
        <v>1.1802716078440581E-17</v>
      </c>
      <c r="AL179" s="62">
        <f>Table13[[#This Row],[cumulative debt until t]]*Table13[[#This Row],[Unconditional mortality NOW]]</f>
        <v>3.7382951439032406E-11</v>
      </c>
      <c r="AM179" s="47">
        <f>Table13[[#This Row],[probablistic premium stream]]/Table13[[#This Row],[lender discounter]]</f>
        <v>4.5407759848460436E-18</v>
      </c>
      <c r="AN179" s="58">
        <f>Table13[[#This Row],[probablistic repay from borrower]]/Table13[[#This Row],[lender discounter]]</f>
        <v>1.438208010841619E-11</v>
      </c>
      <c r="AO179" s="47">
        <f>(Table13[[#This Row],[probablistic repay from borrower]]-Table13[[#This Row],[probablistic premium stream]])/Table13[[#This Row],[lender discounter]]</f>
        <v>1.4382075567640204E-11</v>
      </c>
      <c r="AP179" s="46">
        <f>AP178*(1+$D$4)+ Table13[[#This Row],[level premium marked up]]</f>
        <v>0.40007526327372972</v>
      </c>
      <c r="AQ179" s="58">
        <f>AP179*Table13[[#This Row],[Unconditional mortality NOW]]</f>
        <v>1.9182549075822047E-15</v>
      </c>
      <c r="AR179" s="60">
        <f>Table13[[#This Row],[cumulative debt until t]]*Table13[[#This Row],[Unconditional mortality NOW]]</f>
        <v>3.7382951439032406E-11</v>
      </c>
      <c r="AS179" s="58">
        <f>Table13[[#This Row],[lender to pay cumulative probablistic undiscounted]]/Table13[[#This Row],[lender discounter]]</f>
        <v>7.3799672543789497E-16</v>
      </c>
    </row>
    <row r="180" spans="1:45" s="3" customFormat="1">
      <c r="A180" s="3">
        <v>184</v>
      </c>
      <c r="B180" s="8">
        <v>3.2000000000000001E-2</v>
      </c>
      <c r="C180" s="3">
        <v>0</v>
      </c>
      <c r="D180" s="12">
        <v>3.2000000000000001E-2</v>
      </c>
      <c r="E180" s="66">
        <v>0.99999999989999999</v>
      </c>
      <c r="F180" s="13">
        <f>1-Table13[[#This Row],[one-year conditional mortality AT ISSUE]]</f>
        <v>1.000000082740371E-10</v>
      </c>
      <c r="G180" s="13">
        <f>PRODUCT(F$17:F180)</f>
        <v>0</v>
      </c>
      <c r="H180" s="13">
        <f>Table13[[#This Row],[one-year conditional survival AT ISSUE]]*(1-Table13[[#This Row],[Lapse rate]])</f>
        <v>9.6800008009267909E-11</v>
      </c>
      <c r="I180" s="13">
        <f>PRODUCT(H$17:H180)</f>
        <v>0</v>
      </c>
      <c r="J180" s="13">
        <f>G179*Table13[[#This Row],[one-year conditional mortality AT ISSUE]]</f>
        <v>0</v>
      </c>
      <c r="K180" s="10">
        <f>I179*Table13[[#This Row],[one-year conditional mortality AT ISSUE]]</f>
        <v>0</v>
      </c>
      <c r="L180" s="3">
        <f t="shared" si="4"/>
        <v>2.4615991981893799E-3</v>
      </c>
      <c r="M180" s="44">
        <v>1</v>
      </c>
      <c r="N180" s="44">
        <f>Table13[[#This Row],[one-year conditional mortality AT ISSUE]]/Table13[[#This Row],[one-year conditional persistency AT ISSUE]]</f>
        <v>10330577656.607809</v>
      </c>
      <c r="O180" s="4">
        <f>(1+$B$14)^(Table13[[#This Row],[age since issue]]-$A$17)</f>
        <v>272.44385465878923</v>
      </c>
      <c r="P180" s="5">
        <f>(Table13[[#This Row],[level premium unmarked-up]]*Table13[[#This Row],[unconditional persistency AT ISSUE]]-Table13[[#This Row],[Death benefit pay probability]])</f>
        <v>0</v>
      </c>
      <c r="Q180" s="4">
        <f>Table13[[#This Row],[Issuer profit with unmarked-up level premium]]/Table13[[#This Row],[Issuer discounter at issue]]</f>
        <v>0</v>
      </c>
      <c r="R180" s="4">
        <f>(Table13[[#This Row],[variable premium unmarked up]]*Table13[[#This Row],[unconditional persistency AT ISSUE]]-Table13[[#This Row],[Death benefit pay probability]])</f>
        <v>0</v>
      </c>
      <c r="S180" s="6">
        <f>Table13[[#This Row],[level premium unmarked-up]]*(1+$B$15)</f>
        <v>2.4615991981893799E-3</v>
      </c>
      <c r="T180" s="6">
        <f>MIN(Table13[[#This Row],[variable premium unmarked up]]*(1+$B$15),1)</f>
        <v>1</v>
      </c>
      <c r="U180" s="6">
        <f>Table13[[#This Row],[level premium marked up]]-Table13[[#This Row],[variable premium marked up]]</f>
        <v>-0.99753840080181067</v>
      </c>
      <c r="V180" s="6">
        <f>Table13[[#This Row],[additional cash]]+V179*(1+$D$2)</f>
        <v>-90.177412226055367</v>
      </c>
      <c r="W180" s="12">
        <v>0.5</v>
      </c>
      <c r="X180" s="13">
        <f>1-Table13[[#This Row],[one-year conditional mortality NOW]]</f>
        <v>0.5</v>
      </c>
      <c r="Y180" s="49">
        <f>PRODUCT(X$17:X180)</f>
        <v>2.3973675501523612E-15</v>
      </c>
      <c r="Z180" s="13">
        <f>Table13[[#This Row],[one-year conditional survival NOW]]*(1-Table13[[#This Row],[Lapse rate]])</f>
        <v>0.48399999999999999</v>
      </c>
      <c r="AA180" s="13">
        <f>PRODUCT(Z$17:Z180)</f>
        <v>1.0224551846904918E-16</v>
      </c>
      <c r="AB180" s="50">
        <f>Y179*Table13[[#This Row],[one-year conditional mortality NOW]]</f>
        <v>2.3973675501523612E-15</v>
      </c>
      <c r="AC180" s="14">
        <v>1.9699999999999999E-2</v>
      </c>
      <c r="AD180" s="28">
        <f>(1+Table13[[#This Row],[Yield curve now]])^(Table13[[#This Row],[age since issue]]-$B$11)</f>
        <v>6.6347516689118713</v>
      </c>
      <c r="AE180" s="46">
        <f t="shared" si="5"/>
        <v>8917.4825828525773</v>
      </c>
      <c r="AF180" s="42">
        <f>1-Table13[[#This Row],[cumulative debt until t]]</f>
        <v>-8916.4825828525773</v>
      </c>
      <c r="AG180" s="46">
        <f>Table13[[#This Row],[cumulative debt until t]]*Table13[[#This Row],[Unconditional mortality NOW]]/Table13[[#This Row],[discouter with yield curve]]</f>
        <v>3.2221979721338686E-12</v>
      </c>
      <c r="AH180" s="48">
        <f>Table13[[#This Row],[Unconditional mortality NOW]]/Table13[[#This Row],[discouter with yield curve]]</f>
        <v>3.6133493305945241E-16</v>
      </c>
      <c r="AI180" s="29">
        <f>Table13[[#This Row],[user profit (death benefit - debt)]]*Table13[[#This Row],[Unconditional mortality NOW]]/Table13[[#This Row],[discouter with yield curve]]</f>
        <v>-3.2218366372008094E-12</v>
      </c>
      <c r="AJ180" s="29">
        <f>(1+$D$4)^(Table13[[#This Row],[age since issue]]-$B$11)</f>
        <v>2.6252656548149806</v>
      </c>
      <c r="AK180" s="57">
        <f>Table13[[#This Row],[level premium marked up]]*Table13[[#This Row],[unconditional survival NOW]]</f>
        <v>5.9013580392202904E-18</v>
      </c>
      <c r="AL180" s="62">
        <f>Table13[[#This Row],[cumulative debt until t]]*Table13[[#This Row],[Unconditional mortality NOW]]</f>
        <v>2.1378483373179633E-11</v>
      </c>
      <c r="AM180" s="47">
        <f>Table13[[#This Row],[probablistic premium stream]]/Table13[[#This Row],[lender discounter]]</f>
        <v>2.2479089033891302E-18</v>
      </c>
      <c r="AN180" s="58">
        <f>Table13[[#This Row],[probablistic repay from borrower]]/Table13[[#This Row],[lender discounter]]</f>
        <v>8.1433600191925384E-12</v>
      </c>
      <c r="AO180" s="47">
        <f>(Table13[[#This Row],[probablistic repay from borrower]]-Table13[[#This Row],[probablistic premium stream]])/Table13[[#This Row],[lender discounter]]</f>
        <v>8.1433577712836351E-12</v>
      </c>
      <c r="AP180" s="46">
        <f>AP179*(1+$D$4)+ Table13[[#This Row],[level premium marked up]]</f>
        <v>0.40653761510465641</v>
      </c>
      <c r="AQ180" s="58">
        <f>AP180*Table13[[#This Row],[Unconditional mortality NOW]]</f>
        <v>9.7462008636823372E-16</v>
      </c>
      <c r="AR180" s="60">
        <f>Table13[[#This Row],[cumulative debt until t]]*Table13[[#This Row],[Unconditional mortality NOW]]</f>
        <v>2.1378483373179633E-11</v>
      </c>
      <c r="AS180" s="58">
        <f>Table13[[#This Row],[lender to pay cumulative probablistic undiscounted]]/Table13[[#This Row],[lender discounter]]</f>
        <v>3.7124627162233663E-16</v>
      </c>
    </row>
    <row r="181" spans="1:45" s="3" customFormat="1">
      <c r="A181" s="3">
        <v>185</v>
      </c>
      <c r="B181" s="8">
        <v>3.2000000000000001E-2</v>
      </c>
      <c r="C181" s="3">
        <v>0</v>
      </c>
      <c r="D181" s="12">
        <v>3.2000000000000001E-2</v>
      </c>
      <c r="E181" s="66">
        <v>0.99999999989999999</v>
      </c>
      <c r="F181" s="13">
        <f>1-Table13[[#This Row],[one-year conditional mortality AT ISSUE]]</f>
        <v>1.000000082740371E-10</v>
      </c>
      <c r="G181" s="13">
        <f>PRODUCT(F$17:F181)</f>
        <v>0</v>
      </c>
      <c r="H181" s="13">
        <f>Table13[[#This Row],[one-year conditional survival AT ISSUE]]*(1-Table13[[#This Row],[Lapse rate]])</f>
        <v>9.6800008009267909E-11</v>
      </c>
      <c r="I181" s="13">
        <f>PRODUCT(H$17:H181)</f>
        <v>0</v>
      </c>
      <c r="J181" s="13">
        <f>G180*Table13[[#This Row],[one-year conditional mortality AT ISSUE]]</f>
        <v>0</v>
      </c>
      <c r="K181" s="10">
        <f>I180*Table13[[#This Row],[one-year conditional mortality AT ISSUE]]</f>
        <v>0</v>
      </c>
      <c r="L181" s="3">
        <f t="shared" si="4"/>
        <v>2.4615991981893799E-3</v>
      </c>
      <c r="M181" s="44">
        <v>1</v>
      </c>
      <c r="N181" s="44">
        <f>Table13[[#This Row],[one-year conditional mortality AT ISSUE]]/Table13[[#This Row],[one-year conditional persistency AT ISSUE]]</f>
        <v>10330577656.607809</v>
      </c>
      <c r="O181" s="4">
        <f>(1+$B$14)^(Table13[[#This Row],[age since issue]]-$A$17)</f>
        <v>281.97938957184681</v>
      </c>
      <c r="P181" s="5">
        <f>(Table13[[#This Row],[level premium unmarked-up]]*Table13[[#This Row],[unconditional persistency AT ISSUE]]-Table13[[#This Row],[Death benefit pay probability]])</f>
        <v>0</v>
      </c>
      <c r="Q181" s="4">
        <f>Table13[[#This Row],[Issuer profit with unmarked-up level premium]]/Table13[[#This Row],[Issuer discounter at issue]]</f>
        <v>0</v>
      </c>
      <c r="R181" s="4">
        <f>(Table13[[#This Row],[variable premium unmarked up]]*Table13[[#This Row],[unconditional persistency AT ISSUE]]-Table13[[#This Row],[Death benefit pay probability]])</f>
        <v>0</v>
      </c>
      <c r="S181" s="6">
        <f>Table13[[#This Row],[level premium unmarked-up]]*(1+$B$15)</f>
        <v>2.4615991981893799E-3</v>
      </c>
      <c r="T181" s="6">
        <f>MIN(Table13[[#This Row],[variable premium unmarked up]]*(1+$B$15),1)</f>
        <v>1</v>
      </c>
      <c r="U181" s="6">
        <f>Table13[[#This Row],[level premium marked up]]-Table13[[#This Row],[variable premium marked up]]</f>
        <v>-0.99753840080181067</v>
      </c>
      <c r="V181" s="6">
        <f>Table13[[#This Row],[additional cash]]+V180*(1+$D$2)</f>
        <v>-91.265128039083223</v>
      </c>
      <c r="W181" s="12">
        <v>0.5</v>
      </c>
      <c r="X181" s="13">
        <f>1-Table13[[#This Row],[one-year conditional mortality NOW]]</f>
        <v>0.5</v>
      </c>
      <c r="Y181" s="49">
        <f>PRODUCT(X$17:X181)</f>
        <v>1.1986837750761806E-15</v>
      </c>
      <c r="Z181" s="13">
        <f>Table13[[#This Row],[one-year conditional survival NOW]]*(1-Table13[[#This Row],[Lapse rate]])</f>
        <v>0.48399999999999999</v>
      </c>
      <c r="AA181" s="13">
        <f>PRODUCT(Z$17:Z181)</f>
        <v>4.9486830939019797E-17</v>
      </c>
      <c r="AB181" s="50">
        <f>Y180*Table13[[#This Row],[one-year conditional mortality NOW]]</f>
        <v>1.1986837750761806E-15</v>
      </c>
      <c r="AC181" s="14">
        <v>1.9699999999999999E-2</v>
      </c>
      <c r="AD181" s="28">
        <f>(1+Table13[[#This Row],[Yield curve now]])^(Table13[[#This Row],[age since issue]]-$B$11)</f>
        <v>6.7654562767894362</v>
      </c>
      <c r="AE181" s="46">
        <f t="shared" si="5"/>
        <v>10199.421833980519</v>
      </c>
      <c r="AF181" s="42">
        <f>1-Table13[[#This Row],[cumulative debt until t]]</f>
        <v>-10198.421833980519</v>
      </c>
      <c r="AG181" s="46">
        <f>Table13[[#This Row],[cumulative debt until t]]*Table13[[#This Row],[Unconditional mortality NOW]]/Table13[[#This Row],[discouter with yield curve]]</f>
        <v>1.8071037587655524E-12</v>
      </c>
      <c r="AH181" s="48">
        <f>Table13[[#This Row],[Unconditional mortality NOW]]/Table13[[#This Row],[discouter with yield curve]]</f>
        <v>1.7717707809132704E-16</v>
      </c>
      <c r="AI181" s="29">
        <f>Table13[[#This Row],[user profit (death benefit - debt)]]*Table13[[#This Row],[Unconditional mortality NOW]]/Table13[[#This Row],[discouter with yield curve]]</f>
        <v>-1.8069265816874611E-12</v>
      </c>
      <c r="AJ181" s="29">
        <f>(1+$D$4)^(Table13[[#This Row],[age since issue]]-$B$11)</f>
        <v>2.6515183113631302</v>
      </c>
      <c r="AK181" s="57">
        <f>Table13[[#This Row],[level premium marked up]]*Table13[[#This Row],[unconditional survival NOW]]</f>
        <v>2.9506790196101452E-18</v>
      </c>
      <c r="AL181" s="62">
        <f>Table13[[#This Row],[cumulative debt until t]]*Table13[[#This Row],[Unconditional mortality NOW]]</f>
        <v>1.2225881467550189E-11</v>
      </c>
      <c r="AM181" s="47">
        <f>Table13[[#This Row],[probablistic premium stream]]/Table13[[#This Row],[lender discounter]]</f>
        <v>1.1128261897965992E-18</v>
      </c>
      <c r="AN181" s="58">
        <f>Table13[[#This Row],[probablistic repay from borrower]]/Table13[[#This Row],[lender discounter]]</f>
        <v>4.6108983728892047E-12</v>
      </c>
      <c r="AO181" s="47">
        <f>(Table13[[#This Row],[probablistic repay from borrower]]-Table13[[#This Row],[probablistic premium stream]])/Table13[[#This Row],[lender discounter]]</f>
        <v>4.610897260063015E-12</v>
      </c>
      <c r="AP181" s="46">
        <f>AP180*(1+$D$4)+ Table13[[#This Row],[level premium marked up]]</f>
        <v>0.41306459045389238</v>
      </c>
      <c r="AQ181" s="58">
        <f>AP181*Table13[[#This Row],[Unconditional mortality NOW]]</f>
        <v>4.9513382263556814E-16</v>
      </c>
      <c r="AR181" s="60">
        <f>Table13[[#This Row],[cumulative debt until t]]*Table13[[#This Row],[Unconditional mortality NOW]]</f>
        <v>1.2225881467550189E-11</v>
      </c>
      <c r="AS181" s="58">
        <f>Table13[[#This Row],[lender to pay cumulative probablistic undiscounted]]/Table13[[#This Row],[lender discounter]]</f>
        <v>1.8673596200096491E-16</v>
      </c>
    </row>
    <row r="182" spans="1:45" s="3" customFormat="1">
      <c r="A182" s="3">
        <v>186</v>
      </c>
      <c r="B182" s="8">
        <v>3.2000000000000001E-2</v>
      </c>
      <c r="C182" s="3">
        <v>0</v>
      </c>
      <c r="D182" s="12">
        <v>3.2000000000000001E-2</v>
      </c>
      <c r="E182" s="66">
        <v>0.99999999989999999</v>
      </c>
      <c r="F182" s="13">
        <f>1-Table13[[#This Row],[one-year conditional mortality AT ISSUE]]</f>
        <v>1.000000082740371E-10</v>
      </c>
      <c r="G182" s="13">
        <f>PRODUCT(F$17:F182)</f>
        <v>0</v>
      </c>
      <c r="H182" s="13">
        <f>Table13[[#This Row],[one-year conditional survival AT ISSUE]]*(1-Table13[[#This Row],[Lapse rate]])</f>
        <v>9.6800008009267909E-11</v>
      </c>
      <c r="I182" s="13">
        <f>PRODUCT(H$17:H182)</f>
        <v>0</v>
      </c>
      <c r="J182" s="13">
        <f>G181*Table13[[#This Row],[one-year conditional mortality AT ISSUE]]</f>
        <v>0</v>
      </c>
      <c r="K182" s="10">
        <f>I181*Table13[[#This Row],[one-year conditional mortality AT ISSUE]]</f>
        <v>0</v>
      </c>
      <c r="L182" s="3">
        <f t="shared" si="4"/>
        <v>2.4615991981893799E-3</v>
      </c>
      <c r="M182" s="44">
        <v>1</v>
      </c>
      <c r="N182" s="44">
        <f>Table13[[#This Row],[one-year conditional mortality AT ISSUE]]/Table13[[#This Row],[one-year conditional persistency AT ISSUE]]</f>
        <v>10330577656.607809</v>
      </c>
      <c r="O182" s="4">
        <f>(1+$B$14)^(Table13[[#This Row],[age since issue]]-$A$17)</f>
        <v>291.84866820686142</v>
      </c>
      <c r="P182" s="5">
        <f>(Table13[[#This Row],[level premium unmarked-up]]*Table13[[#This Row],[unconditional persistency AT ISSUE]]-Table13[[#This Row],[Death benefit pay probability]])</f>
        <v>0</v>
      </c>
      <c r="Q182" s="4">
        <f>Table13[[#This Row],[Issuer profit with unmarked-up level premium]]/Table13[[#This Row],[Issuer discounter at issue]]</f>
        <v>0</v>
      </c>
      <c r="R182" s="4">
        <f>(Table13[[#This Row],[variable premium unmarked up]]*Table13[[#This Row],[unconditional persistency AT ISSUE]]-Table13[[#This Row],[Death benefit pay probability]])</f>
        <v>0</v>
      </c>
      <c r="S182" s="6">
        <f>Table13[[#This Row],[level premium unmarked-up]]*(1+$B$15)</f>
        <v>2.4615991981893799E-3</v>
      </c>
      <c r="T182" s="6">
        <f>MIN(Table13[[#This Row],[variable premium unmarked up]]*(1+$B$15),1)</f>
        <v>1</v>
      </c>
      <c r="U182" s="6">
        <f>Table13[[#This Row],[level premium marked up]]-Table13[[#This Row],[variable premium marked up]]</f>
        <v>-0.99753840080181067</v>
      </c>
      <c r="V182" s="6">
        <f>Table13[[#This Row],[additional cash]]+V181*(1+$D$2)</f>
        <v>-92.353931567924107</v>
      </c>
      <c r="W182" s="12">
        <v>0.5</v>
      </c>
      <c r="X182" s="13">
        <f>1-Table13[[#This Row],[one-year conditional mortality NOW]]</f>
        <v>0.5</v>
      </c>
      <c r="Y182" s="49">
        <f>PRODUCT(X$17:X182)</f>
        <v>5.9934188753809029E-16</v>
      </c>
      <c r="Z182" s="13">
        <f>Table13[[#This Row],[one-year conditional survival NOW]]*(1-Table13[[#This Row],[Lapse rate]])</f>
        <v>0.48399999999999999</v>
      </c>
      <c r="AA182" s="13">
        <f>PRODUCT(Z$17:Z182)</f>
        <v>2.3951626174485581E-17</v>
      </c>
      <c r="AB182" s="50">
        <f>Y181*Table13[[#This Row],[one-year conditional mortality NOW]]</f>
        <v>5.9934188753809029E-16</v>
      </c>
      <c r="AC182" s="14">
        <v>1.9699999999999999E-2</v>
      </c>
      <c r="AD182" s="28">
        <f>(1+Table13[[#This Row],[Yield curve now]])^(Table13[[#This Row],[age since issue]]-$B$11)</f>
        <v>6.8987357654421873</v>
      </c>
      <c r="AE182" s="46">
        <f t="shared" si="5"/>
        <v>11665.646797926593</v>
      </c>
      <c r="AF182" s="42">
        <f>1-Table13[[#This Row],[cumulative debt until t]]</f>
        <v>-11664.646797926593</v>
      </c>
      <c r="AG182" s="46">
        <f>Table13[[#This Row],[cumulative debt until t]]*Table13[[#This Row],[Unconditional mortality NOW]]/Table13[[#This Row],[discouter with yield curve]]</f>
        <v>1.0134771078268508E-12</v>
      </c>
      <c r="AH182" s="48">
        <f>Table13[[#This Row],[Unconditional mortality NOW]]/Table13[[#This Row],[discouter with yield curve]]</f>
        <v>8.6877060945046125E-17</v>
      </c>
      <c r="AI182" s="29">
        <f>Table13[[#This Row],[user profit (death benefit - debt)]]*Table13[[#This Row],[Unconditional mortality NOW]]/Table13[[#This Row],[discouter with yield curve]]</f>
        <v>-1.0133902307659058E-12</v>
      </c>
      <c r="AJ182" s="29">
        <f>(1+$D$4)^(Table13[[#This Row],[age since issue]]-$B$11)</f>
        <v>2.678033494476761</v>
      </c>
      <c r="AK182" s="57">
        <f>Table13[[#This Row],[level premium marked up]]*Table13[[#This Row],[unconditional survival NOW]]</f>
        <v>1.4753395098050726E-18</v>
      </c>
      <c r="AL182" s="62">
        <f>Table13[[#This Row],[cumulative debt until t]]*Table13[[#This Row],[Unconditional mortality NOW]]</f>
        <v>6.9917107712220032E-12</v>
      </c>
      <c r="AM182" s="47">
        <f>Table13[[#This Row],[probablistic premium stream]]/Table13[[#This Row],[lender discounter]]</f>
        <v>5.5090405435475224E-19</v>
      </c>
      <c r="AN182" s="58">
        <f>Table13[[#This Row],[probablistic repay from borrower]]/Table13[[#This Row],[lender discounter]]</f>
        <v>2.6107630041378763E-12</v>
      </c>
      <c r="AO182" s="47">
        <f>(Table13[[#This Row],[probablistic repay from borrower]]-Table13[[#This Row],[probablistic premium stream]])/Table13[[#This Row],[lender discounter]]</f>
        <v>2.6107624532338217E-12</v>
      </c>
      <c r="AP182" s="46">
        <f>AP181*(1+$D$4)+ Table13[[#This Row],[level premium marked up]]</f>
        <v>0.4196568355566207</v>
      </c>
      <c r="AQ182" s="58">
        <f>AP182*Table13[[#This Row],[Unconditional mortality NOW]]</f>
        <v>2.5151791994076702E-16</v>
      </c>
      <c r="AR182" s="60">
        <f>Table13[[#This Row],[cumulative debt until t]]*Table13[[#This Row],[Unconditional mortality NOW]]</f>
        <v>6.9917107712220032E-12</v>
      </c>
      <c r="AS182" s="58">
        <f>Table13[[#This Row],[lender to pay cumulative probablistic undiscounted]]/Table13[[#This Row],[lender discounter]]</f>
        <v>9.3918885054837244E-17</v>
      </c>
    </row>
    <row r="183" spans="1:45" s="3" customFormat="1">
      <c r="A183" s="3">
        <v>187</v>
      </c>
      <c r="B183" s="8">
        <v>3.2000000000000001E-2</v>
      </c>
      <c r="C183" s="3">
        <v>0</v>
      </c>
      <c r="D183" s="12">
        <v>3.2000000000000001E-2</v>
      </c>
      <c r="E183" s="66">
        <v>0.99999999989999999</v>
      </c>
      <c r="F183" s="13">
        <f>1-Table13[[#This Row],[one-year conditional mortality AT ISSUE]]</f>
        <v>1.000000082740371E-10</v>
      </c>
      <c r="G183" s="13">
        <f>PRODUCT(F$17:F183)</f>
        <v>0</v>
      </c>
      <c r="H183" s="13">
        <f>Table13[[#This Row],[one-year conditional survival AT ISSUE]]*(1-Table13[[#This Row],[Lapse rate]])</f>
        <v>9.6800008009267909E-11</v>
      </c>
      <c r="I183" s="13">
        <f>PRODUCT(H$17:H183)</f>
        <v>0</v>
      </c>
      <c r="J183" s="13">
        <f>G182*Table13[[#This Row],[one-year conditional mortality AT ISSUE]]</f>
        <v>0</v>
      </c>
      <c r="K183" s="10">
        <f>I182*Table13[[#This Row],[one-year conditional mortality AT ISSUE]]</f>
        <v>0</v>
      </c>
      <c r="L183" s="3">
        <f t="shared" si="4"/>
        <v>2.4615991981893799E-3</v>
      </c>
      <c r="M183" s="44">
        <v>1</v>
      </c>
      <c r="N183" s="44">
        <f>Table13[[#This Row],[one-year conditional mortality AT ISSUE]]/Table13[[#This Row],[one-year conditional persistency AT ISSUE]]</f>
        <v>10330577656.607809</v>
      </c>
      <c r="O183" s="4">
        <f>(1+$B$14)^(Table13[[#This Row],[age since issue]]-$A$17)</f>
        <v>302.06337159410162</v>
      </c>
      <c r="P183" s="5">
        <f>(Table13[[#This Row],[level premium unmarked-up]]*Table13[[#This Row],[unconditional persistency AT ISSUE]]-Table13[[#This Row],[Death benefit pay probability]])</f>
        <v>0</v>
      </c>
      <c r="Q183" s="4">
        <f>Table13[[#This Row],[Issuer profit with unmarked-up level premium]]/Table13[[#This Row],[Issuer discounter at issue]]</f>
        <v>0</v>
      </c>
      <c r="R183" s="4">
        <f>(Table13[[#This Row],[variable premium unmarked up]]*Table13[[#This Row],[unconditional persistency AT ISSUE]]-Table13[[#This Row],[Death benefit pay probability]])</f>
        <v>0</v>
      </c>
      <c r="S183" s="6">
        <f>Table13[[#This Row],[level premium unmarked-up]]*(1+$B$15)</f>
        <v>2.4615991981893799E-3</v>
      </c>
      <c r="T183" s="6">
        <f>MIN(Table13[[#This Row],[variable premium unmarked up]]*(1+$B$15),1)</f>
        <v>1</v>
      </c>
      <c r="U183" s="6">
        <f>Table13[[#This Row],[level premium marked up]]-Table13[[#This Row],[variable premium marked up]]</f>
        <v>-0.99753840080181067</v>
      </c>
      <c r="V183" s="6">
        <f>Table13[[#This Row],[additional cash]]+V182*(1+$D$2)</f>
        <v>-93.443823900293836</v>
      </c>
      <c r="W183" s="12">
        <v>0.5</v>
      </c>
      <c r="X183" s="13">
        <f>1-Table13[[#This Row],[one-year conditional mortality NOW]]</f>
        <v>0.5</v>
      </c>
      <c r="Y183" s="49">
        <f>PRODUCT(X$17:X183)</f>
        <v>2.9967094376904515E-16</v>
      </c>
      <c r="Z183" s="13">
        <f>Table13[[#This Row],[one-year conditional survival NOW]]*(1-Table13[[#This Row],[Lapse rate]])</f>
        <v>0.48399999999999999</v>
      </c>
      <c r="AA183" s="13">
        <f>PRODUCT(Z$17:Z183)</f>
        <v>1.1592587068451021E-17</v>
      </c>
      <c r="AB183" s="50">
        <f>Y182*Table13[[#This Row],[one-year conditional mortality NOW]]</f>
        <v>2.9967094376904515E-16</v>
      </c>
      <c r="AC183" s="14">
        <v>1.9699999999999999E-2</v>
      </c>
      <c r="AD183" s="28">
        <f>(1+Table13[[#This Row],[Yield curve now]])^(Table13[[#This Row],[age since issue]]-$B$11)</f>
        <v>7.0346408600213994</v>
      </c>
      <c r="AE183" s="46">
        <f t="shared" si="5"/>
        <v>13342.649544357131</v>
      </c>
      <c r="AF183" s="42">
        <f>1-Table13[[#This Row],[cumulative debt until t]]</f>
        <v>-13341.649544357131</v>
      </c>
      <c r="AG183" s="46">
        <f>Table13[[#This Row],[cumulative debt until t]]*Table13[[#This Row],[Unconditional mortality NOW]]/Table13[[#This Row],[discouter with yield curve]]</f>
        <v>5.6838784820707374E-13</v>
      </c>
      <c r="AH183" s="48">
        <f>Table13[[#This Row],[Unconditional mortality NOW]]/Table13[[#This Row],[discouter with yield curve]]</f>
        <v>4.2599323793785481E-17</v>
      </c>
      <c r="AI183" s="29">
        <f>Table13[[#This Row],[user profit (death benefit - debt)]]*Table13[[#This Row],[Unconditional mortality NOW]]/Table13[[#This Row],[discouter with yield curve]]</f>
        <v>-5.683452488832799E-13</v>
      </c>
      <c r="AJ183" s="29">
        <f>(1+$D$4)^(Table13[[#This Row],[age since issue]]-$B$11)</f>
        <v>2.7048138294215289</v>
      </c>
      <c r="AK183" s="57">
        <f>Table13[[#This Row],[level premium marked up]]*Table13[[#This Row],[unconditional survival NOW]]</f>
        <v>7.376697549025363E-19</v>
      </c>
      <c r="AL183" s="62">
        <f>Table13[[#This Row],[cumulative debt until t]]*Table13[[#This Row],[Unconditional mortality NOW]]</f>
        <v>3.9984043813371217E-12</v>
      </c>
      <c r="AM183" s="47">
        <f>Table13[[#This Row],[probablistic premium stream]]/Table13[[#This Row],[lender discounter]]</f>
        <v>2.7272477938354069E-19</v>
      </c>
      <c r="AN183" s="58">
        <f>Table13[[#This Row],[probablistic repay from borrower]]/Table13[[#This Row],[lender discounter]]</f>
        <v>1.4782549312062078E-12</v>
      </c>
      <c r="AO183" s="47">
        <f>(Table13[[#This Row],[probablistic repay from borrower]]-Table13[[#This Row],[probablistic premium stream]])/Table13[[#This Row],[lender discounter]]</f>
        <v>1.4782546584814285E-12</v>
      </c>
      <c r="AP183" s="46">
        <f>AP182*(1+$D$4)+ Table13[[#This Row],[level premium marked up]]</f>
        <v>0.42631500311037629</v>
      </c>
      <c r="AQ183" s="58">
        <f>AP183*Table13[[#This Row],[Unconditional mortality NOW]]</f>
        <v>1.2775421932498988E-16</v>
      </c>
      <c r="AR183" s="60">
        <f>Table13[[#This Row],[cumulative debt until t]]*Table13[[#This Row],[Unconditional mortality NOW]]</f>
        <v>3.9984043813371217E-12</v>
      </c>
      <c r="AS183" s="58">
        <f>Table13[[#This Row],[lender to pay cumulative probablistic undiscounted]]/Table13[[#This Row],[lender discounter]]</f>
        <v>4.7232167306802156E-17</v>
      </c>
    </row>
    <row r="184" spans="1:45" s="3" customFormat="1">
      <c r="A184" s="3">
        <v>188</v>
      </c>
      <c r="B184" s="8">
        <v>3.2000000000000001E-2</v>
      </c>
      <c r="C184" s="3">
        <v>0</v>
      </c>
      <c r="D184" s="12">
        <v>3.2000000000000001E-2</v>
      </c>
      <c r="E184" s="66">
        <v>0.99999999989999999</v>
      </c>
      <c r="F184" s="13">
        <f>1-Table13[[#This Row],[one-year conditional mortality AT ISSUE]]</f>
        <v>1.000000082740371E-10</v>
      </c>
      <c r="G184" s="13">
        <f>PRODUCT(F$17:F184)</f>
        <v>0</v>
      </c>
      <c r="H184" s="13">
        <f>Table13[[#This Row],[one-year conditional survival AT ISSUE]]*(1-Table13[[#This Row],[Lapse rate]])</f>
        <v>9.6800008009267909E-11</v>
      </c>
      <c r="I184" s="13">
        <f>PRODUCT(H$17:H184)</f>
        <v>0</v>
      </c>
      <c r="J184" s="13">
        <f>G183*Table13[[#This Row],[one-year conditional mortality AT ISSUE]]</f>
        <v>0</v>
      </c>
      <c r="K184" s="10">
        <f>I183*Table13[[#This Row],[one-year conditional mortality AT ISSUE]]</f>
        <v>0</v>
      </c>
      <c r="L184" s="3">
        <f t="shared" si="4"/>
        <v>2.4615991981893799E-3</v>
      </c>
      <c r="M184" s="44">
        <v>1</v>
      </c>
      <c r="N184" s="44">
        <f>Table13[[#This Row],[one-year conditional mortality AT ISSUE]]/Table13[[#This Row],[one-year conditional persistency AT ISSUE]]</f>
        <v>10330577656.607809</v>
      </c>
      <c r="O184" s="4">
        <f>(1+$B$14)^(Table13[[#This Row],[age since issue]]-$A$17)</f>
        <v>312.63558959989513</v>
      </c>
      <c r="P184" s="5">
        <f>(Table13[[#This Row],[level premium unmarked-up]]*Table13[[#This Row],[unconditional persistency AT ISSUE]]-Table13[[#This Row],[Death benefit pay probability]])</f>
        <v>0</v>
      </c>
      <c r="Q184" s="4">
        <f>Table13[[#This Row],[Issuer profit with unmarked-up level premium]]/Table13[[#This Row],[Issuer discounter at issue]]</f>
        <v>0</v>
      </c>
      <c r="R184" s="4">
        <f>(Table13[[#This Row],[variable premium unmarked up]]*Table13[[#This Row],[unconditional persistency AT ISSUE]]-Table13[[#This Row],[Death benefit pay probability]])</f>
        <v>0</v>
      </c>
      <c r="S184" s="6">
        <f>Table13[[#This Row],[level premium unmarked-up]]*(1+$B$15)</f>
        <v>2.4615991981893799E-3</v>
      </c>
      <c r="T184" s="6">
        <f>MIN(Table13[[#This Row],[variable premium unmarked up]]*(1+$B$15),1)</f>
        <v>1</v>
      </c>
      <c r="U184" s="6">
        <f>Table13[[#This Row],[level premium marked up]]-Table13[[#This Row],[variable premium marked up]]</f>
        <v>-0.99753840080181067</v>
      </c>
      <c r="V184" s="6">
        <f>Table13[[#This Row],[additional cash]]+V183*(1+$D$2)</f>
        <v>-94.534806124995939</v>
      </c>
      <c r="W184" s="12">
        <v>0.5</v>
      </c>
      <c r="X184" s="13">
        <f>1-Table13[[#This Row],[one-year conditional mortality NOW]]</f>
        <v>0.5</v>
      </c>
      <c r="Y184" s="49">
        <f>PRODUCT(X$17:X184)</f>
        <v>1.4983547188452257E-16</v>
      </c>
      <c r="Z184" s="13">
        <f>Table13[[#This Row],[one-year conditional survival NOW]]*(1-Table13[[#This Row],[Lapse rate]])</f>
        <v>0.48399999999999999</v>
      </c>
      <c r="AA184" s="13">
        <f>PRODUCT(Z$17:Z184)</f>
        <v>5.6108121411302941E-18</v>
      </c>
      <c r="AB184" s="50">
        <f>Y183*Table13[[#This Row],[one-year conditional mortality NOW]]</f>
        <v>1.4983547188452257E-16</v>
      </c>
      <c r="AC184" s="14">
        <v>1.9699999999999999E-2</v>
      </c>
      <c r="AD184" s="28">
        <f>(1+Table13[[#This Row],[Yield curve now]])^(Table13[[#This Row],[age since issue]]-$B$11)</f>
        <v>7.1732232849638216</v>
      </c>
      <c r="AE184" s="46">
        <f t="shared" si="5"/>
        <v>15260.730521485417</v>
      </c>
      <c r="AF184" s="42">
        <f>1-Table13[[#This Row],[cumulative debt until t]]</f>
        <v>-15259.730521485417</v>
      </c>
      <c r="AG184" s="46">
        <f>Table13[[#This Row],[cumulative debt until t]]*Table13[[#This Row],[Unconditional mortality NOW]]/Table13[[#This Row],[discouter with yield curve]]</f>
        <v>3.187686578476326E-13</v>
      </c>
      <c r="AH184" s="48">
        <f>Table13[[#This Row],[Unconditional mortality NOW]]/Table13[[#This Row],[discouter with yield curve]]</f>
        <v>2.0888165045496458E-17</v>
      </c>
      <c r="AI184" s="29">
        <f>Table13[[#This Row],[user profit (death benefit - debt)]]*Table13[[#This Row],[Unconditional mortality NOW]]/Table13[[#This Row],[discouter with yield curve]]</f>
        <v>-3.1874776968258713E-13</v>
      </c>
      <c r="AJ184" s="29">
        <f>(1+$D$4)^(Table13[[#This Row],[age since issue]]-$B$11)</f>
        <v>2.7318619677157443</v>
      </c>
      <c r="AK184" s="57">
        <f>Table13[[#This Row],[level premium marked up]]*Table13[[#This Row],[unconditional survival NOW]]</f>
        <v>3.6883487745126815E-19</v>
      </c>
      <c r="AL184" s="62">
        <f>Table13[[#This Row],[cumulative debt until t]]*Table13[[#This Row],[Unconditional mortality NOW]]</f>
        <v>2.2865987589893038E-12</v>
      </c>
      <c r="AM184" s="47">
        <f>Table13[[#This Row],[probablistic premium stream]]/Table13[[#This Row],[lender discounter]]</f>
        <v>1.3501226702155479E-19</v>
      </c>
      <c r="AN184" s="58">
        <f>Table13[[#This Row],[probablistic repay from borrower]]/Table13[[#This Row],[lender discounter]]</f>
        <v>8.3701108841207346E-13</v>
      </c>
      <c r="AO184" s="47">
        <f>(Table13[[#This Row],[probablistic repay from borrower]]-Table13[[#This Row],[probablistic premium stream]])/Table13[[#This Row],[lender discounter]]</f>
        <v>8.3701095339980645E-13</v>
      </c>
      <c r="AP184" s="46">
        <f>AP183*(1+$D$4)+ Table13[[#This Row],[level premium marked up]]</f>
        <v>0.43303975233966946</v>
      </c>
      <c r="AQ184" s="58">
        <f>AP184*Table13[[#This Row],[Unconditional mortality NOW]]</f>
        <v>6.4884715636571167E-17</v>
      </c>
      <c r="AR184" s="60">
        <f>Table13[[#This Row],[cumulative debt until t]]*Table13[[#This Row],[Unconditional mortality NOW]]</f>
        <v>2.2865987589893038E-12</v>
      </c>
      <c r="AS184" s="58">
        <f>Table13[[#This Row],[lender to pay cumulative probablistic undiscounted]]/Table13[[#This Row],[lender discounter]]</f>
        <v>2.3751095920422635E-17</v>
      </c>
    </row>
    <row r="185" spans="1:45" s="3" customFormat="1">
      <c r="A185" s="3">
        <v>189</v>
      </c>
      <c r="B185" s="8">
        <v>3.2000000000000001E-2</v>
      </c>
      <c r="C185" s="3">
        <v>0</v>
      </c>
      <c r="D185" s="12">
        <v>3.2000000000000001E-2</v>
      </c>
      <c r="E185" s="66">
        <v>0.99999999989999999</v>
      </c>
      <c r="F185" s="13">
        <f>1-Table13[[#This Row],[one-year conditional mortality AT ISSUE]]</f>
        <v>1.000000082740371E-10</v>
      </c>
      <c r="G185" s="13">
        <f>PRODUCT(F$17:F185)</f>
        <v>0</v>
      </c>
      <c r="H185" s="13">
        <f>Table13[[#This Row],[one-year conditional survival AT ISSUE]]*(1-Table13[[#This Row],[Lapse rate]])</f>
        <v>9.6800008009267909E-11</v>
      </c>
      <c r="I185" s="13">
        <f>PRODUCT(H$17:H185)</f>
        <v>0</v>
      </c>
      <c r="J185" s="13">
        <f>G184*Table13[[#This Row],[one-year conditional mortality AT ISSUE]]</f>
        <v>0</v>
      </c>
      <c r="K185" s="10">
        <f>I184*Table13[[#This Row],[one-year conditional mortality AT ISSUE]]</f>
        <v>0</v>
      </c>
      <c r="L185" s="3">
        <f t="shared" si="4"/>
        <v>2.4615991981893799E-3</v>
      </c>
      <c r="M185" s="44">
        <v>1</v>
      </c>
      <c r="N185" s="44">
        <f>Table13[[#This Row],[one-year conditional mortality AT ISSUE]]/Table13[[#This Row],[one-year conditional persistency AT ISSUE]]</f>
        <v>10330577656.607809</v>
      </c>
      <c r="O185" s="4">
        <f>(1+$B$14)^(Table13[[#This Row],[age since issue]]-$A$17)</f>
        <v>323.57783523589137</v>
      </c>
      <c r="P185" s="5">
        <f>(Table13[[#This Row],[level premium unmarked-up]]*Table13[[#This Row],[unconditional persistency AT ISSUE]]-Table13[[#This Row],[Death benefit pay probability]])</f>
        <v>0</v>
      </c>
      <c r="Q185" s="4">
        <f>Table13[[#This Row],[Issuer profit with unmarked-up level premium]]/Table13[[#This Row],[Issuer discounter at issue]]</f>
        <v>0</v>
      </c>
      <c r="R185" s="4">
        <f>(Table13[[#This Row],[variable premium unmarked up]]*Table13[[#This Row],[unconditional persistency AT ISSUE]]-Table13[[#This Row],[Death benefit pay probability]])</f>
        <v>0</v>
      </c>
      <c r="S185" s="6">
        <f>Table13[[#This Row],[level premium unmarked-up]]*(1+$B$15)</f>
        <v>2.4615991981893799E-3</v>
      </c>
      <c r="T185" s="6">
        <f>MIN(Table13[[#This Row],[variable premium unmarked up]]*(1+$B$15),1)</f>
        <v>1</v>
      </c>
      <c r="U185" s="6">
        <f>Table13[[#This Row],[level premium marked up]]-Table13[[#This Row],[variable premium marked up]]</f>
        <v>-0.99753840080181067</v>
      </c>
      <c r="V185" s="6">
        <f>Table13[[#This Row],[additional cash]]+V184*(1+$D$2)</f>
        <v>-95.626879331922737</v>
      </c>
      <c r="W185" s="12">
        <v>0.5</v>
      </c>
      <c r="X185" s="13">
        <f>1-Table13[[#This Row],[one-year conditional mortality NOW]]</f>
        <v>0.5</v>
      </c>
      <c r="Y185" s="49">
        <f>PRODUCT(X$17:X185)</f>
        <v>7.4917735942261287E-17</v>
      </c>
      <c r="Z185" s="13">
        <f>Table13[[#This Row],[one-year conditional survival NOW]]*(1-Table13[[#This Row],[Lapse rate]])</f>
        <v>0.48399999999999999</v>
      </c>
      <c r="AA185" s="13">
        <f>PRODUCT(Z$17:Z185)</f>
        <v>2.7156330763070624E-18</v>
      </c>
      <c r="AB185" s="50">
        <f>Y184*Table13[[#This Row],[one-year conditional mortality NOW]]</f>
        <v>7.4917735942261287E-17</v>
      </c>
      <c r="AC185" s="14">
        <v>1.9699999999999999E-2</v>
      </c>
      <c r="AD185" s="28">
        <f>(1+Table13[[#This Row],[Yield curve now]])^(Table13[[#This Row],[age since issue]]-$B$11)</f>
        <v>7.3145357836776084</v>
      </c>
      <c r="AE185" s="46">
        <f t="shared" si="5"/>
        <v>17454.546031121365</v>
      </c>
      <c r="AF185" s="42">
        <f>1-Table13[[#This Row],[cumulative debt until t]]</f>
        <v>-17453.546031121365</v>
      </c>
      <c r="AG185" s="46">
        <f>Table13[[#This Row],[cumulative debt until t]]*Table13[[#This Row],[Unconditional mortality NOW]]/Table13[[#This Row],[discouter with yield curve]]</f>
        <v>1.7877485451224785E-13</v>
      </c>
      <c r="AH185" s="48">
        <f>Table13[[#This Row],[Unconditional mortality NOW]]/Table13[[#This Row],[discouter with yield curve]]</f>
        <v>1.0242309034763391E-17</v>
      </c>
      <c r="AI185" s="29">
        <f>Table13[[#This Row],[user profit (death benefit - debt)]]*Table13[[#This Row],[Unconditional mortality NOW]]/Table13[[#This Row],[discouter with yield curve]]</f>
        <v>-1.7876461220321308E-13</v>
      </c>
      <c r="AJ185" s="29">
        <f>(1+$D$4)^(Table13[[#This Row],[age since issue]]-$B$11)</f>
        <v>2.7591805873929021</v>
      </c>
      <c r="AK185" s="57">
        <f>Table13[[#This Row],[level premium marked up]]*Table13[[#This Row],[unconditional survival NOW]]</f>
        <v>1.8441743872563408E-19</v>
      </c>
      <c r="AL185" s="62">
        <f>Table13[[#This Row],[cumulative debt until t]]*Table13[[#This Row],[Unconditional mortality NOW]]</f>
        <v>1.3076550705515952E-12</v>
      </c>
      <c r="AM185" s="47">
        <f>Table13[[#This Row],[probablistic premium stream]]/Table13[[#This Row],[lender discounter]]</f>
        <v>6.6837755951264737E-20</v>
      </c>
      <c r="AN185" s="58">
        <f>Table13[[#This Row],[probablistic repay from borrower]]/Table13[[#This Row],[lender discounter]]</f>
        <v>4.7392877310258771E-13</v>
      </c>
      <c r="AO185" s="47">
        <f>(Table13[[#This Row],[probablistic repay from borrower]]-Table13[[#This Row],[probablistic premium stream]])/Table13[[#This Row],[lender discounter]]</f>
        <v>4.7392870626483174E-13</v>
      </c>
      <c r="AP185" s="46">
        <f>AP184*(1+$D$4)+ Table13[[#This Row],[level premium marked up]]</f>
        <v>0.43983174906125555</v>
      </c>
      <c r="AQ185" s="58">
        <f>AP185*Table13[[#This Row],[Unconditional mortality NOW]]</f>
        <v>3.2951198835194073E-17</v>
      </c>
      <c r="AR185" s="60">
        <f>Table13[[#This Row],[cumulative debt until t]]*Table13[[#This Row],[Unconditional mortality NOW]]</f>
        <v>1.3076550705515952E-12</v>
      </c>
      <c r="AS185" s="58">
        <f>Table13[[#This Row],[lender to pay cumulative probablistic undiscounted]]/Table13[[#This Row],[lender discounter]]</f>
        <v>1.1942385716162581E-17</v>
      </c>
    </row>
    <row r="186" spans="1:45" s="3" customFormat="1">
      <c r="A186" s="3">
        <v>190</v>
      </c>
      <c r="B186" s="8">
        <v>3.2000000000000001E-2</v>
      </c>
      <c r="C186" s="3">
        <v>0</v>
      </c>
      <c r="D186" s="12">
        <v>3.2000000000000001E-2</v>
      </c>
      <c r="E186" s="66">
        <v>0.99999999989999999</v>
      </c>
      <c r="F186" s="13">
        <f>1-Table13[[#This Row],[one-year conditional mortality AT ISSUE]]</f>
        <v>1.000000082740371E-10</v>
      </c>
      <c r="G186" s="13">
        <f>PRODUCT(F$17:F186)</f>
        <v>0</v>
      </c>
      <c r="H186" s="13">
        <f>Table13[[#This Row],[one-year conditional survival AT ISSUE]]*(1-Table13[[#This Row],[Lapse rate]])</f>
        <v>9.6800008009267909E-11</v>
      </c>
      <c r="I186" s="13">
        <f>PRODUCT(H$17:H186)</f>
        <v>0</v>
      </c>
      <c r="J186" s="13">
        <f>G185*Table13[[#This Row],[one-year conditional mortality AT ISSUE]]</f>
        <v>0</v>
      </c>
      <c r="K186" s="10">
        <f>I185*Table13[[#This Row],[one-year conditional mortality AT ISSUE]]</f>
        <v>0</v>
      </c>
      <c r="L186" s="3">
        <f t="shared" si="4"/>
        <v>2.4615991981893799E-3</v>
      </c>
      <c r="M186" s="44">
        <v>1</v>
      </c>
      <c r="N186" s="44">
        <f>Table13[[#This Row],[one-year conditional mortality AT ISSUE]]/Table13[[#This Row],[one-year conditional persistency AT ISSUE]]</f>
        <v>10330577656.607809</v>
      </c>
      <c r="O186" s="4">
        <f>(1+$B$14)^(Table13[[#This Row],[age since issue]]-$A$17)</f>
        <v>334.90305946914754</v>
      </c>
      <c r="P186" s="5">
        <f>(Table13[[#This Row],[level premium unmarked-up]]*Table13[[#This Row],[unconditional persistency AT ISSUE]]-Table13[[#This Row],[Death benefit pay probability]])</f>
        <v>0</v>
      </c>
      <c r="Q186" s="4">
        <f>Table13[[#This Row],[Issuer profit with unmarked-up level premium]]/Table13[[#This Row],[Issuer discounter at issue]]</f>
        <v>0</v>
      </c>
      <c r="R186" s="4">
        <f>(Table13[[#This Row],[variable premium unmarked up]]*Table13[[#This Row],[unconditional persistency AT ISSUE]]-Table13[[#This Row],[Death benefit pay probability]])</f>
        <v>0</v>
      </c>
      <c r="S186" s="6">
        <f>Table13[[#This Row],[level premium unmarked-up]]*(1+$B$15)</f>
        <v>2.4615991981893799E-3</v>
      </c>
      <c r="T186" s="6">
        <f>MIN(Table13[[#This Row],[variable premium unmarked up]]*(1+$B$15),1)</f>
        <v>1</v>
      </c>
      <c r="U186" s="6">
        <f>Table13[[#This Row],[level premium marked up]]-Table13[[#This Row],[variable premium marked up]]</f>
        <v>-0.99753840080181067</v>
      </c>
      <c r="V186" s="6">
        <f>Table13[[#This Row],[additional cash]]+V185*(1+$D$2)</f>
        <v>-96.720044612056469</v>
      </c>
      <c r="W186" s="12">
        <v>0.5</v>
      </c>
      <c r="X186" s="13">
        <f>1-Table13[[#This Row],[one-year conditional mortality NOW]]</f>
        <v>0.5</v>
      </c>
      <c r="Y186" s="49">
        <f>PRODUCT(X$17:X186)</f>
        <v>3.7458867971130643E-17</v>
      </c>
      <c r="Z186" s="13">
        <f>Table13[[#This Row],[one-year conditional survival NOW]]*(1-Table13[[#This Row],[Lapse rate]])</f>
        <v>0.48399999999999999</v>
      </c>
      <c r="AA186" s="13">
        <f>PRODUCT(Z$17:Z186)</f>
        <v>1.3143664089326182E-18</v>
      </c>
      <c r="AB186" s="50">
        <f>Y185*Table13[[#This Row],[one-year conditional mortality NOW]]</f>
        <v>3.7458867971130643E-17</v>
      </c>
      <c r="AC186" s="14">
        <v>1.9699999999999999E-2</v>
      </c>
      <c r="AD186" s="28">
        <f>(1+Table13[[#This Row],[Yield curve now]])^(Table13[[#This Row],[age since issue]]-$B$11)</f>
        <v>7.458632138616057</v>
      </c>
      <c r="AE186" s="46">
        <f t="shared" si="5"/>
        <v>19963.734406225791</v>
      </c>
      <c r="AF186" s="42">
        <f>1-Table13[[#This Row],[cumulative debt until t]]</f>
        <v>-19962.734406225791</v>
      </c>
      <c r="AG186" s="46">
        <f>Table13[[#This Row],[cumulative debt until t]]*Table13[[#This Row],[Unconditional mortality NOW]]/Table13[[#This Row],[discouter with yield curve]]</f>
        <v>1.0026220323453132E-13</v>
      </c>
      <c r="AH186" s="48">
        <f>Table13[[#This Row],[Unconditional mortality NOW]]/Table13[[#This Row],[discouter with yield curve]]</f>
        <v>5.0222168455248557E-18</v>
      </c>
      <c r="AI186" s="29">
        <f>Table13[[#This Row],[user profit (death benefit - debt)]]*Table13[[#This Row],[Unconditional mortality NOW]]/Table13[[#This Row],[discouter with yield curve]]</f>
        <v>-1.002571810176858E-13</v>
      </c>
      <c r="AJ186" s="29">
        <f>(1+$D$4)^(Table13[[#This Row],[age since issue]]-$B$11)</f>
        <v>2.7867723932668302</v>
      </c>
      <c r="AK186" s="57">
        <f>Table13[[#This Row],[level premium marked up]]*Table13[[#This Row],[unconditional survival NOW]]</f>
        <v>9.2208719362817038E-20</v>
      </c>
      <c r="AL186" s="62">
        <f>Table13[[#This Row],[cumulative debt until t]]*Table13[[#This Row],[Unconditional mortality NOW]]</f>
        <v>7.4781889133353008E-13</v>
      </c>
      <c r="AM186" s="47">
        <f>Table13[[#This Row],[probablistic premium stream]]/Table13[[#This Row],[lender discounter]]</f>
        <v>3.3087997995675625E-20</v>
      </c>
      <c r="AN186" s="58">
        <f>Table13[[#This Row],[probablistic repay from borrower]]/Table13[[#This Row],[lender discounter]]</f>
        <v>2.6834588039566794E-13</v>
      </c>
      <c r="AO186" s="47">
        <f>(Table13[[#This Row],[probablistic repay from borrower]]-Table13[[#This Row],[probablistic premium stream]])/Table13[[#This Row],[lender discounter]]</f>
        <v>2.6834584730766992E-13</v>
      </c>
      <c r="AP186" s="46">
        <f>AP185*(1+$D$4)+ Table13[[#This Row],[level premium marked up]]</f>
        <v>0.44669166575005748</v>
      </c>
      <c r="AQ186" s="58">
        <f>AP186*Table13[[#This Row],[Unconditional mortality NOW]]</f>
        <v>1.6732564131135823E-17</v>
      </c>
      <c r="AR186" s="60">
        <f>Table13[[#This Row],[cumulative debt until t]]*Table13[[#This Row],[Unconditional mortality NOW]]</f>
        <v>7.4781889133353008E-13</v>
      </c>
      <c r="AS186" s="58">
        <f>Table13[[#This Row],[lender to pay cumulative probablistic undiscounted]]/Table13[[#This Row],[lender discounter]]</f>
        <v>6.0042808560769675E-18</v>
      </c>
    </row>
    <row r="187" spans="1:45" s="3" customFormat="1">
      <c r="A187" s="3">
        <v>191</v>
      </c>
      <c r="B187" s="8">
        <v>3.2000000000000001E-2</v>
      </c>
      <c r="C187" s="3">
        <v>0</v>
      </c>
      <c r="D187" s="12">
        <v>3.2000000000000001E-2</v>
      </c>
      <c r="E187" s="66">
        <v>0.99999999989999999</v>
      </c>
      <c r="F187" s="13">
        <f>1-Table13[[#This Row],[one-year conditional mortality AT ISSUE]]</f>
        <v>1.000000082740371E-10</v>
      </c>
      <c r="G187" s="13">
        <f>PRODUCT(F$17:F187)</f>
        <v>0</v>
      </c>
      <c r="H187" s="13">
        <f>Table13[[#This Row],[one-year conditional survival AT ISSUE]]*(1-Table13[[#This Row],[Lapse rate]])</f>
        <v>9.6800008009267909E-11</v>
      </c>
      <c r="I187" s="13">
        <f>PRODUCT(H$17:H187)</f>
        <v>0</v>
      </c>
      <c r="J187" s="13">
        <f>G186*Table13[[#This Row],[one-year conditional mortality AT ISSUE]]</f>
        <v>0</v>
      </c>
      <c r="K187" s="10">
        <f>I186*Table13[[#This Row],[one-year conditional mortality AT ISSUE]]</f>
        <v>0</v>
      </c>
      <c r="L187" s="3">
        <f t="shared" si="4"/>
        <v>2.4615991981893799E-3</v>
      </c>
      <c r="M187" s="44">
        <v>1</v>
      </c>
      <c r="N187" s="44">
        <f>Table13[[#This Row],[one-year conditional mortality AT ISSUE]]/Table13[[#This Row],[one-year conditional persistency AT ISSUE]]</f>
        <v>10330577656.607809</v>
      </c>
      <c r="O187" s="4">
        <f>(1+$B$14)^(Table13[[#This Row],[age since issue]]-$A$17)</f>
        <v>346.62466655056767</v>
      </c>
      <c r="P187" s="5">
        <f>(Table13[[#This Row],[level premium unmarked-up]]*Table13[[#This Row],[unconditional persistency AT ISSUE]]-Table13[[#This Row],[Death benefit pay probability]])</f>
        <v>0</v>
      </c>
      <c r="Q187" s="4">
        <f>Table13[[#This Row],[Issuer profit with unmarked-up level premium]]/Table13[[#This Row],[Issuer discounter at issue]]</f>
        <v>0</v>
      </c>
      <c r="R187" s="4">
        <f>(Table13[[#This Row],[variable premium unmarked up]]*Table13[[#This Row],[unconditional persistency AT ISSUE]]-Table13[[#This Row],[Death benefit pay probability]])</f>
        <v>0</v>
      </c>
      <c r="S187" s="6">
        <f>Table13[[#This Row],[level premium unmarked-up]]*(1+$B$15)</f>
        <v>2.4615991981893799E-3</v>
      </c>
      <c r="T187" s="6">
        <f>MIN(Table13[[#This Row],[variable premium unmarked up]]*(1+$B$15),1)</f>
        <v>1</v>
      </c>
      <c r="U187" s="6">
        <f>Table13[[#This Row],[level premium marked up]]-Table13[[#This Row],[variable premium marked up]]</f>
        <v>-0.99753840080181067</v>
      </c>
      <c r="V187" s="6">
        <f>Table13[[#This Row],[additional cash]]+V186*(1+$D$2)</f>
        <v>-97.814303057470326</v>
      </c>
      <c r="W187" s="12">
        <v>0.5</v>
      </c>
      <c r="X187" s="13">
        <f>1-Table13[[#This Row],[one-year conditional mortality NOW]]</f>
        <v>0.5</v>
      </c>
      <c r="Y187" s="49">
        <f>PRODUCT(X$17:X187)</f>
        <v>1.8729433985565322E-17</v>
      </c>
      <c r="Z187" s="13">
        <f>Table13[[#This Row],[one-year conditional survival NOW]]*(1-Table13[[#This Row],[Lapse rate]])</f>
        <v>0.48399999999999999</v>
      </c>
      <c r="AA187" s="13">
        <f>PRODUCT(Z$17:Z187)</f>
        <v>6.3615334192338722E-19</v>
      </c>
      <c r="AB187" s="50">
        <f>Y186*Table13[[#This Row],[one-year conditional mortality NOW]]</f>
        <v>1.8729433985565322E-17</v>
      </c>
      <c r="AC187" s="14">
        <v>1.9699999999999999E-2</v>
      </c>
      <c r="AD187" s="28">
        <f>(1+Table13[[#This Row],[Yield curve now]])^(Table13[[#This Row],[age since issue]]-$B$11)</f>
        <v>7.6055671917467942</v>
      </c>
      <c r="AE187" s="46">
        <f t="shared" si="5"/>
        <v>22833.632204880694</v>
      </c>
      <c r="AF187" s="42">
        <f>1-Table13[[#This Row],[cumulative debt until t]]</f>
        <v>-22832.632204880694</v>
      </c>
      <c r="AG187" s="46">
        <f>Table13[[#This Row],[cumulative debt until t]]*Table13[[#This Row],[Unconditional mortality NOW]]/Table13[[#This Row],[discouter with yield curve]]</f>
        <v>5.6229995245597074E-14</v>
      </c>
      <c r="AH187" s="48">
        <f>Table13[[#This Row],[Unconditional mortality NOW]]/Table13[[#This Row],[discouter with yield curve]]</f>
        <v>2.462595295442216E-18</v>
      </c>
      <c r="AI187" s="29">
        <f>Table13[[#This Row],[user profit (death benefit - debt)]]*Table13[[#This Row],[Unconditional mortality NOW]]/Table13[[#This Row],[discouter with yield curve]]</f>
        <v>-5.6227532650301633E-14</v>
      </c>
      <c r="AJ187" s="29">
        <f>(1+$D$4)^(Table13[[#This Row],[age since issue]]-$B$11)</f>
        <v>2.8146401171994992</v>
      </c>
      <c r="AK187" s="57">
        <f>Table13[[#This Row],[level premium marked up]]*Table13[[#This Row],[unconditional survival NOW]]</f>
        <v>4.6104359681408519E-20</v>
      </c>
      <c r="AL187" s="62">
        <f>Table13[[#This Row],[cumulative debt until t]]*Table13[[#This Row],[Unconditional mortality NOW]]</f>
        <v>4.2766100703199132E-13</v>
      </c>
      <c r="AM187" s="47">
        <f>Table13[[#This Row],[probablistic premium stream]]/Table13[[#This Row],[lender discounter]]</f>
        <v>1.6380197027562185E-20</v>
      </c>
      <c r="AN187" s="58">
        <f>Table13[[#This Row],[probablistic repay from borrower]]/Table13[[#This Row],[lender discounter]]</f>
        <v>1.519416299151964E-13</v>
      </c>
      <c r="AO187" s="47">
        <f>(Table13[[#This Row],[probablistic repay from borrower]]-Table13[[#This Row],[probablistic premium stream]])/Table13[[#This Row],[lender discounter]]</f>
        <v>1.5194161353499937E-13</v>
      </c>
      <c r="AP187" s="46">
        <f>AP186*(1+$D$4)+ Table13[[#This Row],[level premium marked up]]</f>
        <v>0.45362018160574746</v>
      </c>
      <c r="AQ187" s="58">
        <f>AP187*Table13[[#This Row],[Unconditional mortality NOW]]</f>
        <v>8.4960492459049995E-18</v>
      </c>
      <c r="AR187" s="60">
        <f>Table13[[#This Row],[cumulative debt until t]]*Table13[[#This Row],[Unconditional mortality NOW]]</f>
        <v>4.2766100703199132E-13</v>
      </c>
      <c r="AS187" s="58">
        <f>Table13[[#This Row],[lender to pay cumulative probablistic undiscounted]]/Table13[[#This Row],[lender discounter]]</f>
        <v>3.0185206250660454E-18</v>
      </c>
    </row>
    <row r="188" spans="1:45" s="3" customFormat="1">
      <c r="A188" s="3">
        <v>192</v>
      </c>
      <c r="B188" s="8">
        <v>3.2000000000000001E-2</v>
      </c>
      <c r="C188" s="3">
        <v>0</v>
      </c>
      <c r="D188" s="12">
        <v>3.2000000000000001E-2</v>
      </c>
      <c r="E188" s="66">
        <v>0.99999999989999999</v>
      </c>
      <c r="F188" s="13">
        <f>1-Table13[[#This Row],[one-year conditional mortality AT ISSUE]]</f>
        <v>1.000000082740371E-10</v>
      </c>
      <c r="G188" s="13">
        <f>PRODUCT(F$17:F188)</f>
        <v>0</v>
      </c>
      <c r="H188" s="13">
        <f>Table13[[#This Row],[one-year conditional survival AT ISSUE]]*(1-Table13[[#This Row],[Lapse rate]])</f>
        <v>9.6800008009267909E-11</v>
      </c>
      <c r="I188" s="13">
        <f>PRODUCT(H$17:H188)</f>
        <v>0</v>
      </c>
      <c r="J188" s="13">
        <f>G187*Table13[[#This Row],[one-year conditional mortality AT ISSUE]]</f>
        <v>0</v>
      </c>
      <c r="K188" s="10">
        <f>I187*Table13[[#This Row],[one-year conditional mortality AT ISSUE]]</f>
        <v>0</v>
      </c>
      <c r="L188" s="3">
        <f t="shared" si="4"/>
        <v>2.4615991981893799E-3</v>
      </c>
      <c r="M188" s="44">
        <v>1</v>
      </c>
      <c r="N188" s="44">
        <f>Table13[[#This Row],[one-year conditional mortality AT ISSUE]]/Table13[[#This Row],[one-year conditional persistency AT ISSUE]]</f>
        <v>10330577656.607809</v>
      </c>
      <c r="O188" s="4">
        <f>(1+$B$14)^(Table13[[#This Row],[age since issue]]-$A$17)</f>
        <v>358.75652987983761</v>
      </c>
      <c r="P188" s="5">
        <f>(Table13[[#This Row],[level premium unmarked-up]]*Table13[[#This Row],[unconditional persistency AT ISSUE]]-Table13[[#This Row],[Death benefit pay probability]])</f>
        <v>0</v>
      </c>
      <c r="Q188" s="4">
        <f>Table13[[#This Row],[Issuer profit with unmarked-up level premium]]/Table13[[#This Row],[Issuer discounter at issue]]</f>
        <v>0</v>
      </c>
      <c r="R188" s="4">
        <f>(Table13[[#This Row],[variable premium unmarked up]]*Table13[[#This Row],[unconditional persistency AT ISSUE]]-Table13[[#This Row],[Death benefit pay probability]])</f>
        <v>0</v>
      </c>
      <c r="S188" s="6">
        <f>Table13[[#This Row],[level premium unmarked-up]]*(1+$B$15)</f>
        <v>2.4615991981893799E-3</v>
      </c>
      <c r="T188" s="6">
        <f>MIN(Table13[[#This Row],[variable premium unmarked up]]*(1+$B$15),1)</f>
        <v>1</v>
      </c>
      <c r="U188" s="6">
        <f>Table13[[#This Row],[level premium marked up]]-Table13[[#This Row],[variable premium marked up]]</f>
        <v>-0.99753840080181067</v>
      </c>
      <c r="V188" s="6">
        <f>Table13[[#This Row],[additional cash]]+V187*(1+$D$2)</f>
        <v>-98.909655761329603</v>
      </c>
      <c r="W188" s="12">
        <v>0.5</v>
      </c>
      <c r="X188" s="13">
        <f>1-Table13[[#This Row],[one-year conditional mortality NOW]]</f>
        <v>0.5</v>
      </c>
      <c r="Y188" s="49">
        <f>PRODUCT(X$17:X188)</f>
        <v>9.3647169927826609E-18</v>
      </c>
      <c r="Z188" s="13">
        <f>Table13[[#This Row],[one-year conditional survival NOW]]*(1-Table13[[#This Row],[Lapse rate]])</f>
        <v>0.48399999999999999</v>
      </c>
      <c r="AA188" s="13">
        <f>PRODUCT(Z$17:Z188)</f>
        <v>3.0789821749091942E-19</v>
      </c>
      <c r="AB188" s="50">
        <f>Y187*Table13[[#This Row],[one-year conditional mortality NOW]]</f>
        <v>9.3647169927826609E-18</v>
      </c>
      <c r="AC188" s="14">
        <v>1.9699999999999999E-2</v>
      </c>
      <c r="AD188" s="28">
        <f>(1+Table13[[#This Row],[Yield curve now]])^(Table13[[#This Row],[age since issue]]-$B$11)</f>
        <v>7.7553968654242063</v>
      </c>
      <c r="AE188" s="46">
        <f t="shared" si="5"/>
        <v>26116.093361023064</v>
      </c>
      <c r="AF188" s="42">
        <f>1-Table13[[#This Row],[cumulative debt until t]]</f>
        <v>-26115.093361023064</v>
      </c>
      <c r="AG188" s="46">
        <f>Table13[[#This Row],[cumulative debt until t]]*Table13[[#This Row],[Unconditional mortality NOW]]/Table13[[#This Row],[discouter with yield curve]]</f>
        <v>3.1535436229373878E-14</v>
      </c>
      <c r="AH188" s="48">
        <f>Table13[[#This Row],[Unconditional mortality NOW]]/Table13[[#This Row],[discouter with yield curve]]</f>
        <v>1.2075097065029989E-18</v>
      </c>
      <c r="AI188" s="29">
        <f>Table13[[#This Row],[user profit (death benefit - debt)]]*Table13[[#This Row],[Unconditional mortality NOW]]/Table13[[#This Row],[discouter with yield curve]]</f>
        <v>-3.1534228719667374E-14</v>
      </c>
      <c r="AJ188" s="29">
        <f>(1+$D$4)^(Table13[[#This Row],[age since issue]]-$B$11)</f>
        <v>2.8427865183714944</v>
      </c>
      <c r="AK188" s="57">
        <f>Table13[[#This Row],[level premium marked up]]*Table13[[#This Row],[unconditional survival NOW]]</f>
        <v>2.3052179840704259E-20</v>
      </c>
      <c r="AL188" s="62">
        <f>Table13[[#This Row],[cumulative debt until t]]*Table13[[#This Row],[Unconditional mortality NOW]]</f>
        <v>2.4456982328307111E-13</v>
      </c>
      <c r="AM188" s="47">
        <f>Table13[[#This Row],[probablistic premium stream]]/Table13[[#This Row],[lender discounter]]</f>
        <v>8.1090084294862301E-21</v>
      </c>
      <c r="AN188" s="58">
        <f>Table13[[#This Row],[probablistic repay from borrower]]/Table13[[#This Row],[lender discounter]]</f>
        <v>8.6031723346983599E-14</v>
      </c>
      <c r="AO188" s="47">
        <f>(Table13[[#This Row],[probablistic repay from borrower]]-Table13[[#This Row],[probablistic premium stream]])/Table13[[#This Row],[lender discounter]]</f>
        <v>8.6031715237975165E-14</v>
      </c>
      <c r="AP188" s="46">
        <f>AP187*(1+$D$4)+ Table13[[#This Row],[level premium marked up]]</f>
        <v>0.46061798261999432</v>
      </c>
      <c r="AQ188" s="58">
        <f>AP188*Table13[[#This Row],[Unconditional mortality NOW]]</f>
        <v>4.3135570490227288E-18</v>
      </c>
      <c r="AR188" s="60">
        <f>Table13[[#This Row],[cumulative debt until t]]*Table13[[#This Row],[Unconditional mortality NOW]]</f>
        <v>2.4456982328307111E-13</v>
      </c>
      <c r="AS188" s="58">
        <f>Table13[[#This Row],[lender to pay cumulative probablistic undiscounted]]/Table13[[#This Row],[lender discounter]]</f>
        <v>1.5173693209625086E-18</v>
      </c>
    </row>
    <row r="189" spans="1:45" s="3" customFormat="1">
      <c r="A189" s="3">
        <v>193</v>
      </c>
      <c r="B189" s="8">
        <v>3.2000000000000001E-2</v>
      </c>
      <c r="C189" s="3">
        <v>0</v>
      </c>
      <c r="D189" s="12">
        <v>3.2000000000000001E-2</v>
      </c>
      <c r="E189" s="66">
        <v>0.99999999989999999</v>
      </c>
      <c r="F189" s="13">
        <f>1-Table13[[#This Row],[one-year conditional mortality AT ISSUE]]</f>
        <v>1.000000082740371E-10</v>
      </c>
      <c r="G189" s="13">
        <f>PRODUCT(F$17:F189)</f>
        <v>0</v>
      </c>
      <c r="H189" s="13">
        <f>Table13[[#This Row],[one-year conditional survival AT ISSUE]]*(1-Table13[[#This Row],[Lapse rate]])</f>
        <v>9.6800008009267909E-11</v>
      </c>
      <c r="I189" s="13">
        <f>PRODUCT(H$17:H189)</f>
        <v>0</v>
      </c>
      <c r="J189" s="13">
        <f>G188*Table13[[#This Row],[one-year conditional mortality AT ISSUE]]</f>
        <v>0</v>
      </c>
      <c r="K189" s="10">
        <f>I188*Table13[[#This Row],[one-year conditional mortality AT ISSUE]]</f>
        <v>0</v>
      </c>
      <c r="L189" s="3">
        <f t="shared" si="4"/>
        <v>2.4615991981893799E-3</v>
      </c>
      <c r="M189" s="44">
        <v>1</v>
      </c>
      <c r="N189" s="44">
        <f>Table13[[#This Row],[one-year conditional mortality AT ISSUE]]/Table13[[#This Row],[one-year conditional persistency AT ISSUE]]</f>
        <v>10330577656.607809</v>
      </c>
      <c r="O189" s="4">
        <f>(1+$B$14)^(Table13[[#This Row],[age since issue]]-$A$17)</f>
        <v>371.31300842563184</v>
      </c>
      <c r="P189" s="5">
        <f>(Table13[[#This Row],[level premium unmarked-up]]*Table13[[#This Row],[unconditional persistency AT ISSUE]]-Table13[[#This Row],[Death benefit pay probability]])</f>
        <v>0</v>
      </c>
      <c r="Q189" s="4">
        <f>Table13[[#This Row],[Issuer profit with unmarked-up level premium]]/Table13[[#This Row],[Issuer discounter at issue]]</f>
        <v>0</v>
      </c>
      <c r="R189" s="4">
        <f>(Table13[[#This Row],[variable premium unmarked up]]*Table13[[#This Row],[unconditional persistency AT ISSUE]]-Table13[[#This Row],[Death benefit pay probability]])</f>
        <v>0</v>
      </c>
      <c r="S189" s="6">
        <f>Table13[[#This Row],[level premium unmarked-up]]*(1+$B$15)</f>
        <v>2.4615991981893799E-3</v>
      </c>
      <c r="T189" s="6">
        <f>MIN(Table13[[#This Row],[variable premium unmarked up]]*(1+$B$15),1)</f>
        <v>1</v>
      </c>
      <c r="U189" s="6">
        <f>Table13[[#This Row],[level premium marked up]]-Table13[[#This Row],[variable premium marked up]]</f>
        <v>-0.99753840080181067</v>
      </c>
      <c r="V189" s="6">
        <f>Table13[[#This Row],[additional cash]]+V188*(1+$D$2)</f>
        <v>-100.00610381789274</v>
      </c>
      <c r="W189" s="12">
        <v>0.5</v>
      </c>
      <c r="X189" s="13">
        <f>1-Table13[[#This Row],[one-year conditional mortality NOW]]</f>
        <v>0.5</v>
      </c>
      <c r="Y189" s="49">
        <f>PRODUCT(X$17:X189)</f>
        <v>4.6823584963913304E-18</v>
      </c>
      <c r="Z189" s="13">
        <f>Table13[[#This Row],[one-year conditional survival NOW]]*(1-Table13[[#This Row],[Lapse rate]])</f>
        <v>0.48399999999999999</v>
      </c>
      <c r="AA189" s="13">
        <f>PRODUCT(Z$17:Z189)</f>
        <v>1.4902273726560498E-19</v>
      </c>
      <c r="AB189" s="50">
        <f>Y188*Table13[[#This Row],[one-year conditional mortality NOW]]</f>
        <v>4.6823584963913304E-18</v>
      </c>
      <c r="AC189" s="14">
        <v>1.9699999999999999E-2</v>
      </c>
      <c r="AD189" s="28">
        <f>(1+Table13[[#This Row],[Yield curve now]])^(Table13[[#This Row],[age since issue]]-$B$11)</f>
        <v>7.9081781836730629</v>
      </c>
      <c r="AE189" s="46">
        <f t="shared" si="5"/>
        <v>29870.42609253477</v>
      </c>
      <c r="AF189" s="42">
        <f>1-Table13[[#This Row],[cumulative debt until t]]</f>
        <v>-29869.42609253477</v>
      </c>
      <c r="AG189" s="46">
        <f>Table13[[#This Row],[cumulative debt until t]]*Table13[[#This Row],[Unconditional mortality NOW]]/Table13[[#This Row],[discouter with yield curve]]</f>
        <v>1.7686000511972238E-14</v>
      </c>
      <c r="AH189" s="48">
        <f>Table13[[#This Row],[Unconditional mortality NOW]]/Table13[[#This Row],[discouter with yield curve]]</f>
        <v>5.9209066710944343E-19</v>
      </c>
      <c r="AI189" s="29">
        <f>Table13[[#This Row],[user profit (death benefit - debt)]]*Table13[[#This Row],[Unconditional mortality NOW]]/Table13[[#This Row],[discouter with yield curve]]</f>
        <v>-1.7685408421305128E-14</v>
      </c>
      <c r="AJ189" s="29">
        <f>(1+$D$4)^(Table13[[#This Row],[age since issue]]-$B$11)</f>
        <v>2.87121438355521</v>
      </c>
      <c r="AK189" s="57">
        <f>Table13[[#This Row],[level premium marked up]]*Table13[[#This Row],[unconditional survival NOW]]</f>
        <v>1.152608992035213E-20</v>
      </c>
      <c r="AL189" s="62">
        <f>Table13[[#This Row],[cumulative debt until t]]*Table13[[#This Row],[Unconditional mortality NOW]]</f>
        <v>1.3986404340520948E-13</v>
      </c>
      <c r="AM189" s="47">
        <f>Table13[[#This Row],[probablistic premium stream]]/Table13[[#This Row],[lender discounter]]</f>
        <v>4.0143606086565485E-21</v>
      </c>
      <c r="AN189" s="58">
        <f>Table13[[#This Row],[probablistic repay from borrower]]/Table13[[#This Row],[lender discounter]]</f>
        <v>4.8712504439332843E-14</v>
      </c>
      <c r="AO189" s="47">
        <f>(Table13[[#This Row],[probablistic repay from borrower]]-Table13[[#This Row],[probablistic premium stream]])/Table13[[#This Row],[lender discounter]]</f>
        <v>4.8712500424972231E-14</v>
      </c>
      <c r="AP189" s="46">
        <f>AP188*(1+$D$4)+ Table13[[#This Row],[level premium marked up]]</f>
        <v>0.46768576164438364</v>
      </c>
      <c r="AQ189" s="58">
        <f>AP189*Table13[[#This Row],[Unconditional mortality NOW]]</f>
        <v>2.1898723996768302E-18</v>
      </c>
      <c r="AR189" s="60">
        <f>Table13[[#This Row],[cumulative debt until t]]*Table13[[#This Row],[Unconditional mortality NOW]]</f>
        <v>1.3986404340520948E-13</v>
      </c>
      <c r="AS189" s="58">
        <f>Table13[[#This Row],[lender to pay cumulative probablistic undiscounted]]/Table13[[#This Row],[lender discounter]]</f>
        <v>7.6269902108991078E-19</v>
      </c>
    </row>
    <row r="190" spans="1:45" s="3" customFormat="1">
      <c r="A190" s="3">
        <v>194</v>
      </c>
      <c r="B190" s="8">
        <v>3.2000000000000001E-2</v>
      </c>
      <c r="C190" s="3">
        <v>0</v>
      </c>
      <c r="D190" s="12">
        <v>3.2000000000000001E-2</v>
      </c>
      <c r="E190" s="66">
        <v>0.99999999989999999</v>
      </c>
      <c r="F190" s="13">
        <f>1-Table13[[#This Row],[one-year conditional mortality AT ISSUE]]</f>
        <v>1.000000082740371E-10</v>
      </c>
      <c r="G190" s="13">
        <f>PRODUCT(F$17:F190)</f>
        <v>0</v>
      </c>
      <c r="H190" s="13">
        <f>Table13[[#This Row],[one-year conditional survival AT ISSUE]]*(1-Table13[[#This Row],[Lapse rate]])</f>
        <v>9.6800008009267909E-11</v>
      </c>
      <c r="I190" s="13">
        <f>PRODUCT(H$17:H190)</f>
        <v>0</v>
      </c>
      <c r="J190" s="13">
        <f>G189*Table13[[#This Row],[one-year conditional mortality AT ISSUE]]</f>
        <v>0</v>
      </c>
      <c r="K190" s="10">
        <f>I189*Table13[[#This Row],[one-year conditional mortality AT ISSUE]]</f>
        <v>0</v>
      </c>
      <c r="L190" s="3">
        <f t="shared" si="4"/>
        <v>2.4615991981893799E-3</v>
      </c>
      <c r="M190" s="44">
        <v>1</v>
      </c>
      <c r="N190" s="44">
        <f>Table13[[#This Row],[one-year conditional mortality AT ISSUE]]/Table13[[#This Row],[one-year conditional persistency AT ISSUE]]</f>
        <v>10330577656.607809</v>
      </c>
      <c r="O190" s="4">
        <f>(1+$B$14)^(Table13[[#This Row],[age since issue]]-$A$17)</f>
        <v>384.30896372052894</v>
      </c>
      <c r="P190" s="5">
        <f>(Table13[[#This Row],[level premium unmarked-up]]*Table13[[#This Row],[unconditional persistency AT ISSUE]]-Table13[[#This Row],[Death benefit pay probability]])</f>
        <v>0</v>
      </c>
      <c r="Q190" s="4">
        <f>Table13[[#This Row],[Issuer profit with unmarked-up level premium]]/Table13[[#This Row],[Issuer discounter at issue]]</f>
        <v>0</v>
      </c>
      <c r="R190" s="4">
        <f>(Table13[[#This Row],[variable premium unmarked up]]*Table13[[#This Row],[unconditional persistency AT ISSUE]]-Table13[[#This Row],[Death benefit pay probability]])</f>
        <v>0</v>
      </c>
      <c r="S190" s="6">
        <f>Table13[[#This Row],[level premium unmarked-up]]*(1+$B$15)</f>
        <v>2.4615991981893799E-3</v>
      </c>
      <c r="T190" s="6">
        <f>MIN(Table13[[#This Row],[variable premium unmarked up]]*(1+$B$15),1)</f>
        <v>1</v>
      </c>
      <c r="U190" s="6">
        <f>Table13[[#This Row],[level premium marked up]]-Table13[[#This Row],[variable premium marked up]]</f>
        <v>-0.99753840080181067</v>
      </c>
      <c r="V190" s="6">
        <f>Table13[[#This Row],[additional cash]]+V189*(1+$D$2)</f>
        <v>-101.10364832251243</v>
      </c>
      <c r="W190" s="12">
        <v>0.5</v>
      </c>
      <c r="X190" s="13">
        <f>1-Table13[[#This Row],[one-year conditional mortality NOW]]</f>
        <v>0.5</v>
      </c>
      <c r="Y190" s="49">
        <f>PRODUCT(X$17:X190)</f>
        <v>2.3411792481956652E-18</v>
      </c>
      <c r="Z190" s="13">
        <f>Table13[[#This Row],[one-year conditional survival NOW]]*(1-Table13[[#This Row],[Lapse rate]])</f>
        <v>0.48399999999999999</v>
      </c>
      <c r="AA190" s="13">
        <f>PRODUCT(Z$17:Z190)</f>
        <v>7.2127004836552815E-20</v>
      </c>
      <c r="AB190" s="50">
        <f>Y189*Table13[[#This Row],[one-year conditional mortality NOW]]</f>
        <v>2.3411792481956652E-18</v>
      </c>
      <c r="AC190" s="14">
        <v>1.9699999999999999E-2</v>
      </c>
      <c r="AD190" s="28">
        <f>(1+Table13[[#This Row],[Yield curve now]])^(Table13[[#This Row],[age since issue]]-$B$11)</f>
        <v>8.0639692938914216</v>
      </c>
      <c r="AE190" s="46">
        <f t="shared" si="5"/>
        <v>34164.4644949465</v>
      </c>
      <c r="AF190" s="42">
        <f>1-Table13[[#This Row],[cumulative debt until t]]</f>
        <v>-34163.4644949465</v>
      </c>
      <c r="AG190" s="46">
        <f>Table13[[#This Row],[cumulative debt until t]]*Table13[[#This Row],[Unconditional mortality NOW]]/Table13[[#This Row],[discouter with yield curve]]</f>
        <v>9.918829348950559E-15</v>
      </c>
      <c r="AH190" s="48">
        <f>Table13[[#This Row],[Unconditional mortality NOW]]/Table13[[#This Row],[discouter with yield curve]]</f>
        <v>2.90325913067296E-19</v>
      </c>
      <c r="AI190" s="29">
        <f>Table13[[#This Row],[user profit (death benefit - debt)]]*Table13[[#This Row],[Unconditional mortality NOW]]/Table13[[#This Row],[discouter with yield curve]]</f>
        <v>-9.9185390230374914E-15</v>
      </c>
      <c r="AJ190" s="29">
        <f>(1+$D$4)^(Table13[[#This Row],[age since issue]]-$B$11)</f>
        <v>2.8999265273907611</v>
      </c>
      <c r="AK190" s="57">
        <f>Table13[[#This Row],[level premium marked up]]*Table13[[#This Row],[unconditional survival NOW]]</f>
        <v>5.7630449601760649E-21</v>
      </c>
      <c r="AL190" s="62">
        <f>Table13[[#This Row],[cumulative debt until t]]*Table13[[#This Row],[Unconditional mortality NOW]]</f>
        <v>7.9985135301286345E-14</v>
      </c>
      <c r="AM190" s="47">
        <f>Table13[[#This Row],[probablistic premium stream]]/Table13[[#This Row],[lender discounter]]</f>
        <v>1.9873072320081932E-21</v>
      </c>
      <c r="AN190" s="58">
        <f>Table13[[#This Row],[probablistic repay from borrower]]/Table13[[#This Row],[lender discounter]]</f>
        <v>2.7581779933319139E-14</v>
      </c>
      <c r="AO190" s="47">
        <f>(Table13[[#This Row],[probablistic repay from borrower]]-Table13[[#This Row],[probablistic premium stream]])/Table13[[#This Row],[lender discounter]]</f>
        <v>2.7581777946011905E-14</v>
      </c>
      <c r="AP190" s="46">
        <f>AP189*(1+$D$4)+ Table13[[#This Row],[level premium marked up]]</f>
        <v>0.47482421845901684</v>
      </c>
      <c r="AQ190" s="58">
        <f>AP190*Table13[[#This Row],[Unconditional mortality NOW]]</f>
        <v>1.1116486067969754E-18</v>
      </c>
      <c r="AR190" s="60">
        <f>Table13[[#This Row],[cumulative debt until t]]*Table13[[#This Row],[Unconditional mortality NOW]]</f>
        <v>7.9985135301286345E-14</v>
      </c>
      <c r="AS190" s="58">
        <f>Table13[[#This Row],[lender to pay cumulative probablistic undiscounted]]/Table13[[#This Row],[lender discounter]]</f>
        <v>3.8333681777696374E-19</v>
      </c>
    </row>
    <row r="191" spans="1:45" s="3" customFormat="1">
      <c r="A191" s="3">
        <v>195</v>
      </c>
      <c r="B191" s="8">
        <v>3.2000000000000001E-2</v>
      </c>
      <c r="C191" s="3">
        <v>0</v>
      </c>
      <c r="D191" s="12">
        <v>3.2000000000000001E-2</v>
      </c>
      <c r="E191" s="66">
        <v>0.99999999989999999</v>
      </c>
      <c r="F191" s="13">
        <f>1-Table13[[#This Row],[one-year conditional mortality AT ISSUE]]</f>
        <v>1.000000082740371E-10</v>
      </c>
      <c r="G191" s="13">
        <f>PRODUCT(F$17:F191)</f>
        <v>0</v>
      </c>
      <c r="H191" s="13">
        <f>Table13[[#This Row],[one-year conditional survival AT ISSUE]]*(1-Table13[[#This Row],[Lapse rate]])</f>
        <v>9.6800008009267909E-11</v>
      </c>
      <c r="I191" s="13">
        <f>PRODUCT(H$17:H191)</f>
        <v>0</v>
      </c>
      <c r="J191" s="13">
        <f>G190*Table13[[#This Row],[one-year conditional mortality AT ISSUE]]</f>
        <v>0</v>
      </c>
      <c r="K191" s="10">
        <f>I190*Table13[[#This Row],[one-year conditional mortality AT ISSUE]]</f>
        <v>0</v>
      </c>
      <c r="L191" s="3">
        <f t="shared" si="4"/>
        <v>2.4615991981893799E-3</v>
      </c>
      <c r="M191" s="44">
        <v>1</v>
      </c>
      <c r="N191" s="44">
        <f>Table13[[#This Row],[one-year conditional mortality AT ISSUE]]/Table13[[#This Row],[one-year conditional persistency AT ISSUE]]</f>
        <v>10330577656.607809</v>
      </c>
      <c r="O191" s="4">
        <f>(1+$B$14)^(Table13[[#This Row],[age since issue]]-$A$17)</f>
        <v>397.75977745074749</v>
      </c>
      <c r="P191" s="5">
        <f>(Table13[[#This Row],[level premium unmarked-up]]*Table13[[#This Row],[unconditional persistency AT ISSUE]]-Table13[[#This Row],[Death benefit pay probability]])</f>
        <v>0</v>
      </c>
      <c r="Q191" s="4">
        <f>Table13[[#This Row],[Issuer profit with unmarked-up level premium]]/Table13[[#This Row],[Issuer discounter at issue]]</f>
        <v>0</v>
      </c>
      <c r="R191" s="4">
        <f>(Table13[[#This Row],[variable premium unmarked up]]*Table13[[#This Row],[unconditional persistency AT ISSUE]]-Table13[[#This Row],[Death benefit pay probability]])</f>
        <v>0</v>
      </c>
      <c r="S191" s="6">
        <f>Table13[[#This Row],[level premium unmarked-up]]*(1+$B$15)</f>
        <v>2.4615991981893799E-3</v>
      </c>
      <c r="T191" s="6">
        <f>MIN(Table13[[#This Row],[variable premium unmarked up]]*(1+$B$15),1)</f>
        <v>1</v>
      </c>
      <c r="U191" s="6">
        <f>Table13[[#This Row],[level premium marked up]]-Table13[[#This Row],[variable premium marked up]]</f>
        <v>-0.99753840080181067</v>
      </c>
      <c r="V191" s="6">
        <f>Table13[[#This Row],[additional cash]]+V190*(1+$D$2)</f>
        <v>-102.20229037163675</v>
      </c>
      <c r="W191" s="12">
        <v>0.5</v>
      </c>
      <c r="X191" s="13">
        <f>1-Table13[[#This Row],[one-year conditional mortality NOW]]</f>
        <v>0.5</v>
      </c>
      <c r="Y191" s="49">
        <f>PRODUCT(X$17:X191)</f>
        <v>1.1705896240978326E-18</v>
      </c>
      <c r="Z191" s="13">
        <f>Table13[[#This Row],[one-year conditional survival NOW]]*(1-Table13[[#This Row],[Lapse rate]])</f>
        <v>0.48399999999999999</v>
      </c>
      <c r="AA191" s="13">
        <f>PRODUCT(Z$17:Z191)</f>
        <v>3.4909470340891563E-20</v>
      </c>
      <c r="AB191" s="50">
        <f>Y190*Table13[[#This Row],[one-year conditional mortality NOW]]</f>
        <v>1.1705896240978326E-18</v>
      </c>
      <c r="AC191" s="14">
        <v>1.9699999999999999E-2</v>
      </c>
      <c r="AD191" s="28">
        <f>(1+Table13[[#This Row],[Yield curve now]])^(Table13[[#This Row],[age since issue]]-$B$11)</f>
        <v>8.222829488981084</v>
      </c>
      <c r="AE191" s="46">
        <f t="shared" si="5"/>
        <v>39075.794182542471</v>
      </c>
      <c r="AF191" s="42">
        <f>1-Table13[[#This Row],[cumulative debt until t]]</f>
        <v>-39074.794182542471</v>
      </c>
      <c r="AG191" s="46">
        <f>Table13[[#This Row],[cumulative debt until t]]*Table13[[#This Row],[Unconditional mortality NOW]]/Table13[[#This Row],[discouter with yield curve]]</f>
        <v>5.5627712194156979E-15</v>
      </c>
      <c r="AH191" s="48">
        <f>Table13[[#This Row],[Unconditional mortality NOW]]/Table13[[#This Row],[discouter with yield curve]]</f>
        <v>1.4235849419794838E-19</v>
      </c>
      <c r="AI191" s="29">
        <f>Table13[[#This Row],[user profit (death benefit - debt)]]*Table13[[#This Row],[Unconditional mortality NOW]]/Table13[[#This Row],[discouter with yield curve]]</f>
        <v>-5.5626288609214996E-15</v>
      </c>
      <c r="AJ191" s="29">
        <f>(1+$D$4)^(Table13[[#This Row],[age since issue]]-$B$11)</f>
        <v>2.928925792664669</v>
      </c>
      <c r="AK191" s="57">
        <f>Table13[[#This Row],[level premium marked up]]*Table13[[#This Row],[unconditional survival NOW]]</f>
        <v>2.8815224800880324E-21</v>
      </c>
      <c r="AL191" s="62">
        <f>Table13[[#This Row],[cumulative debt until t]]*Table13[[#This Row],[Unconditional mortality NOW]]</f>
        <v>4.5741719223466664E-14</v>
      </c>
      <c r="AM191" s="47">
        <f>Table13[[#This Row],[probablistic premium stream]]/Table13[[#This Row],[lender discounter]]</f>
        <v>9.8381546139019449E-22</v>
      </c>
      <c r="AN191" s="58">
        <f>Table13[[#This Row],[probablistic repay from borrower]]/Table13[[#This Row],[lender discounter]]</f>
        <v>1.5617233914913188E-14</v>
      </c>
      <c r="AO191" s="47">
        <f>(Table13[[#This Row],[probablistic repay from borrower]]-Table13[[#This Row],[probablistic premium stream]])/Table13[[#This Row],[lender discounter]]</f>
        <v>1.5617232931097727E-14</v>
      </c>
      <c r="AP191" s="46">
        <f>AP190*(1+$D$4)+ Table13[[#This Row],[level premium marked up]]</f>
        <v>0.48203405984179643</v>
      </c>
      <c r="AQ191" s="58">
        <f>AP191*Table13[[#This Row],[Unconditional mortality NOW]]</f>
        <v>5.6426406891256062E-19</v>
      </c>
      <c r="AR191" s="60">
        <f>Table13[[#This Row],[cumulative debt until t]]*Table13[[#This Row],[Unconditional mortality NOW]]</f>
        <v>4.5741719223466664E-14</v>
      </c>
      <c r="AS191" s="58">
        <f>Table13[[#This Row],[lender to pay cumulative probablistic undiscounted]]/Table13[[#This Row],[lender discounter]]</f>
        <v>1.9265222434987203E-19</v>
      </c>
    </row>
    <row r="192" spans="1:45" s="3" customFormat="1">
      <c r="A192" s="3">
        <v>196</v>
      </c>
      <c r="B192" s="8">
        <v>3.2000000000000001E-2</v>
      </c>
      <c r="C192" s="3">
        <v>0</v>
      </c>
      <c r="D192" s="12">
        <v>3.2000000000000001E-2</v>
      </c>
      <c r="E192" s="66">
        <v>0.99999999989999999</v>
      </c>
      <c r="F192" s="13">
        <f>1-Table13[[#This Row],[one-year conditional mortality AT ISSUE]]</f>
        <v>1.000000082740371E-10</v>
      </c>
      <c r="G192" s="13">
        <f>PRODUCT(F$17:F192)</f>
        <v>0</v>
      </c>
      <c r="H192" s="13">
        <f>Table13[[#This Row],[one-year conditional survival AT ISSUE]]*(1-Table13[[#This Row],[Lapse rate]])</f>
        <v>9.6800008009267909E-11</v>
      </c>
      <c r="I192" s="13">
        <f>PRODUCT(H$17:H192)</f>
        <v>0</v>
      </c>
      <c r="J192" s="13">
        <f>G191*Table13[[#This Row],[one-year conditional mortality AT ISSUE]]</f>
        <v>0</v>
      </c>
      <c r="K192" s="10">
        <f>I191*Table13[[#This Row],[one-year conditional mortality AT ISSUE]]</f>
        <v>0</v>
      </c>
      <c r="L192" s="3">
        <f t="shared" si="4"/>
        <v>2.4615991981893799E-3</v>
      </c>
      <c r="M192" s="44">
        <v>1</v>
      </c>
      <c r="N192" s="44">
        <f>Table13[[#This Row],[one-year conditional mortality AT ISSUE]]/Table13[[#This Row],[one-year conditional persistency AT ISSUE]]</f>
        <v>10330577656.607809</v>
      </c>
      <c r="O192" s="4">
        <f>(1+$B$14)^(Table13[[#This Row],[age since issue]]-$A$17)</f>
        <v>411.68136966152355</v>
      </c>
      <c r="P192" s="5">
        <f>(Table13[[#This Row],[level premium unmarked-up]]*Table13[[#This Row],[unconditional persistency AT ISSUE]]-Table13[[#This Row],[Death benefit pay probability]])</f>
        <v>0</v>
      </c>
      <c r="Q192" s="4">
        <f>Table13[[#This Row],[Issuer profit with unmarked-up level premium]]/Table13[[#This Row],[Issuer discounter at issue]]</f>
        <v>0</v>
      </c>
      <c r="R192" s="4">
        <f>(Table13[[#This Row],[variable premium unmarked up]]*Table13[[#This Row],[unconditional persistency AT ISSUE]]-Table13[[#This Row],[Death benefit pay probability]])</f>
        <v>0</v>
      </c>
      <c r="S192" s="6">
        <f>Table13[[#This Row],[level premium unmarked-up]]*(1+$B$15)</f>
        <v>2.4615991981893799E-3</v>
      </c>
      <c r="T192" s="6">
        <f>MIN(Table13[[#This Row],[variable premium unmarked up]]*(1+$B$15),1)</f>
        <v>1</v>
      </c>
      <c r="U192" s="6">
        <f>Table13[[#This Row],[level premium marked up]]-Table13[[#This Row],[variable premium marked up]]</f>
        <v>-0.99753840080181067</v>
      </c>
      <c r="V192" s="6">
        <f>Table13[[#This Row],[additional cash]]+V191*(1+$D$2)</f>
        <v>-103.30203106281019</v>
      </c>
      <c r="W192" s="12">
        <v>0.5</v>
      </c>
      <c r="X192" s="13">
        <f>1-Table13[[#This Row],[one-year conditional mortality NOW]]</f>
        <v>0.5</v>
      </c>
      <c r="Y192" s="49">
        <f>PRODUCT(X$17:X192)</f>
        <v>5.852948120489163E-19</v>
      </c>
      <c r="Z192" s="13">
        <f>Table13[[#This Row],[one-year conditional survival NOW]]*(1-Table13[[#This Row],[Lapse rate]])</f>
        <v>0.48399999999999999</v>
      </c>
      <c r="AA192" s="13">
        <f>PRODUCT(Z$17:Z192)</f>
        <v>1.6896183644991516E-20</v>
      </c>
      <c r="AB192" s="50">
        <f>Y191*Table13[[#This Row],[one-year conditional mortality NOW]]</f>
        <v>5.852948120489163E-19</v>
      </c>
      <c r="AC192" s="14">
        <v>1.9699999999999999E-2</v>
      </c>
      <c r="AD192" s="28">
        <f>(1+Table13[[#This Row],[Yield curve now]])^(Table13[[#This Row],[age since issue]]-$B$11)</f>
        <v>8.3848192299140116</v>
      </c>
      <c r="AE192" s="46">
        <f t="shared" si="5"/>
        <v>44693.154122014355</v>
      </c>
      <c r="AF192" s="42">
        <f>1-Table13[[#This Row],[cumulative debt until t]]</f>
        <v>-44692.154122014355</v>
      </c>
      <c r="AG192" s="46">
        <f>Table13[[#This Row],[cumulative debt until t]]*Table13[[#This Row],[Unconditional mortality NOW]]/Table13[[#This Row],[discouter with yield curve]]</f>
        <v>3.1197656770455986E-15</v>
      </c>
      <c r="AH192" s="48">
        <f>Table13[[#This Row],[Unconditional mortality NOW]]/Table13[[#This Row],[discouter with yield curve]]</f>
        <v>6.9804106206702167E-20</v>
      </c>
      <c r="AI192" s="29">
        <f>Table13[[#This Row],[user profit (death benefit - debt)]]*Table13[[#This Row],[Unconditional mortality NOW]]/Table13[[#This Row],[discouter with yield curve]]</f>
        <v>-3.1196958729393921E-15</v>
      </c>
      <c r="AJ192" s="29">
        <f>(1+$D$4)^(Table13[[#This Row],[age since issue]]-$B$11)</f>
        <v>2.9582150505913161</v>
      </c>
      <c r="AK192" s="57">
        <f>Table13[[#This Row],[level premium marked up]]*Table13[[#This Row],[unconditional survival NOW]]</f>
        <v>1.4407612400440162E-21</v>
      </c>
      <c r="AL192" s="62">
        <f>Table13[[#This Row],[cumulative debt until t]]*Table13[[#This Row],[Unconditional mortality NOW]]</f>
        <v>2.6158671241717642E-14</v>
      </c>
      <c r="AM192" s="47">
        <f>Table13[[#This Row],[probablistic premium stream]]/Table13[[#This Row],[lender discounter]]</f>
        <v>4.8703735712385859E-22</v>
      </c>
      <c r="AN192" s="58">
        <f>Table13[[#This Row],[probablistic repay from borrower]]/Table13[[#This Row],[lender discounter]]</f>
        <v>8.8427213013093143E-15</v>
      </c>
      <c r="AO192" s="47">
        <f>(Table13[[#This Row],[probablistic repay from borrower]]-Table13[[#This Row],[probablistic premium stream]])/Table13[[#This Row],[lender discounter]]</f>
        <v>8.8427208142719572E-15</v>
      </c>
      <c r="AP192" s="46">
        <f>AP191*(1+$D$4)+ Table13[[#This Row],[level premium marked up]]</f>
        <v>0.48931599963840378</v>
      </c>
      <c r="AQ192" s="58">
        <f>AP192*Table13[[#This Row],[Unconditional mortality NOW]]</f>
        <v>2.8639411604088715E-19</v>
      </c>
      <c r="AR192" s="60">
        <f>Table13[[#This Row],[cumulative debt until t]]*Table13[[#This Row],[Unconditional mortality NOW]]</f>
        <v>2.6158671241717642E-14</v>
      </c>
      <c r="AS192" s="58">
        <f>Table13[[#This Row],[lender to pay cumulative probablistic undiscounted]]/Table13[[#This Row],[lender discounter]]</f>
        <v>9.6813149532059874E-20</v>
      </c>
    </row>
    <row r="193" spans="1:45" s="3" customFormat="1">
      <c r="A193" s="3">
        <v>197</v>
      </c>
      <c r="B193" s="8">
        <v>3.2000000000000001E-2</v>
      </c>
      <c r="C193" s="3">
        <v>0</v>
      </c>
      <c r="D193" s="12">
        <v>3.2000000000000001E-2</v>
      </c>
      <c r="E193" s="66">
        <v>0.99999999989999999</v>
      </c>
      <c r="F193" s="13">
        <f>1-Table13[[#This Row],[one-year conditional mortality AT ISSUE]]</f>
        <v>1.000000082740371E-10</v>
      </c>
      <c r="G193" s="13">
        <f>PRODUCT(F$17:F193)</f>
        <v>0</v>
      </c>
      <c r="H193" s="13">
        <f>Table13[[#This Row],[one-year conditional survival AT ISSUE]]*(1-Table13[[#This Row],[Lapse rate]])</f>
        <v>9.6800008009267909E-11</v>
      </c>
      <c r="I193" s="13">
        <f>PRODUCT(H$17:H193)</f>
        <v>0</v>
      </c>
      <c r="J193" s="13">
        <f>G192*Table13[[#This Row],[one-year conditional mortality AT ISSUE]]</f>
        <v>0</v>
      </c>
      <c r="K193" s="10">
        <f>I192*Table13[[#This Row],[one-year conditional mortality AT ISSUE]]</f>
        <v>0</v>
      </c>
      <c r="L193" s="3">
        <f t="shared" si="4"/>
        <v>2.4615991981893799E-3</v>
      </c>
      <c r="M193" s="44">
        <v>1</v>
      </c>
      <c r="N193" s="44">
        <f>Table13[[#This Row],[one-year conditional mortality AT ISSUE]]/Table13[[#This Row],[one-year conditional persistency AT ISSUE]]</f>
        <v>10330577656.607809</v>
      </c>
      <c r="O193" s="4">
        <f>(1+$B$14)^(Table13[[#This Row],[age since issue]]-$A$17)</f>
        <v>426.09021759967681</v>
      </c>
      <c r="P193" s="5">
        <f>(Table13[[#This Row],[level premium unmarked-up]]*Table13[[#This Row],[unconditional persistency AT ISSUE]]-Table13[[#This Row],[Death benefit pay probability]])</f>
        <v>0</v>
      </c>
      <c r="Q193" s="4">
        <f>Table13[[#This Row],[Issuer profit with unmarked-up level premium]]/Table13[[#This Row],[Issuer discounter at issue]]</f>
        <v>0</v>
      </c>
      <c r="R193" s="4">
        <f>(Table13[[#This Row],[variable premium unmarked up]]*Table13[[#This Row],[unconditional persistency AT ISSUE]]-Table13[[#This Row],[Death benefit pay probability]])</f>
        <v>0</v>
      </c>
      <c r="S193" s="6">
        <f>Table13[[#This Row],[level premium unmarked-up]]*(1+$B$15)</f>
        <v>2.4615991981893799E-3</v>
      </c>
      <c r="T193" s="6">
        <f>MIN(Table13[[#This Row],[variable premium unmarked up]]*(1+$B$15),1)</f>
        <v>1</v>
      </c>
      <c r="U193" s="6">
        <f>Table13[[#This Row],[level premium marked up]]-Table13[[#This Row],[variable premium marked up]]</f>
        <v>-0.99753840080181067</v>
      </c>
      <c r="V193" s="6">
        <f>Table13[[#This Row],[additional cash]]+V192*(1+$D$2)</f>
        <v>-104.4028714946748</v>
      </c>
      <c r="W193" s="12">
        <v>0.5</v>
      </c>
      <c r="X193" s="13">
        <f>1-Table13[[#This Row],[one-year conditional mortality NOW]]</f>
        <v>0.5</v>
      </c>
      <c r="Y193" s="49">
        <f>PRODUCT(X$17:X193)</f>
        <v>2.9264740602445815E-19</v>
      </c>
      <c r="Z193" s="13">
        <f>Table13[[#This Row],[one-year conditional survival NOW]]*(1-Table13[[#This Row],[Lapse rate]])</f>
        <v>0.48399999999999999</v>
      </c>
      <c r="AA193" s="13">
        <f>PRODUCT(Z$17:Z193)</f>
        <v>8.1777528841758934E-21</v>
      </c>
      <c r="AB193" s="50">
        <f>Y192*Table13[[#This Row],[one-year conditional mortality NOW]]</f>
        <v>2.9264740602445815E-19</v>
      </c>
      <c r="AC193" s="14">
        <v>1.9699999999999999E-2</v>
      </c>
      <c r="AD193" s="28">
        <f>(1+Table13[[#This Row],[Yield curve now]])^(Table13[[#This Row],[age since issue]]-$B$11)</f>
        <v>8.5500001687433187</v>
      </c>
      <c r="AE193" s="46">
        <f t="shared" si="5"/>
        <v>51118.039987298056</v>
      </c>
      <c r="AF193" s="42">
        <f>1-Table13[[#This Row],[cumulative debt until t]]</f>
        <v>-51117.039987298056</v>
      </c>
      <c r="AG193" s="46">
        <f>Table13[[#This Row],[cumulative debt until t]]*Table13[[#This Row],[Unconditional mortality NOW]]/Table13[[#This Row],[discouter with yield curve]]</f>
        <v>1.7496563167361974E-15</v>
      </c>
      <c r="AH193" s="48">
        <f>Table13[[#This Row],[Unconditional mortality NOW]]/Table13[[#This Row],[discouter with yield curve]]</f>
        <v>3.4227766110965067E-20</v>
      </c>
      <c r="AI193" s="29">
        <f>Table13[[#This Row],[user profit (death benefit - debt)]]*Table13[[#This Row],[Unconditional mortality NOW]]/Table13[[#This Row],[discouter with yield curve]]</f>
        <v>-1.7496220889700867E-15</v>
      </c>
      <c r="AJ193" s="29">
        <f>(1+$D$4)^(Table13[[#This Row],[age since issue]]-$B$11)</f>
        <v>2.9877972010972296</v>
      </c>
      <c r="AK193" s="57">
        <f>Table13[[#This Row],[level premium marked up]]*Table13[[#This Row],[unconditional survival NOW]]</f>
        <v>7.2038062002200811E-22</v>
      </c>
      <c r="AL193" s="62">
        <f>Table13[[#This Row],[cumulative debt until t]]*Table13[[#This Row],[Unconditional mortality NOW]]</f>
        <v>1.4959561803337301E-14</v>
      </c>
      <c r="AM193" s="47">
        <f>Table13[[#This Row],[probablistic premium stream]]/Table13[[#This Row],[lender discounter]]</f>
        <v>2.4110760253656362E-22</v>
      </c>
      <c r="AN193" s="58">
        <f>Table13[[#This Row],[probablistic repay from borrower]]/Table13[[#This Row],[lender discounter]]</f>
        <v>5.0068866112611648E-15</v>
      </c>
      <c r="AO193" s="47">
        <f>(Table13[[#This Row],[probablistic repay from borrower]]-Table13[[#This Row],[probablistic premium stream]])/Table13[[#This Row],[lender discounter]]</f>
        <v>5.0068863701535631E-15</v>
      </c>
      <c r="AP193" s="46">
        <f>AP192*(1+$D$4)+ Table13[[#This Row],[level premium marked up]]</f>
        <v>0.49667075883297723</v>
      </c>
      <c r="AQ193" s="58">
        <f>AP193*Table13[[#This Row],[Unconditional mortality NOW]]</f>
        <v>1.4534940922067003E-19</v>
      </c>
      <c r="AR193" s="60">
        <f>Table13[[#This Row],[cumulative debt until t]]*Table13[[#This Row],[Unconditional mortality NOW]]</f>
        <v>1.4959561803337301E-14</v>
      </c>
      <c r="AS193" s="58">
        <f>Table13[[#This Row],[lender to pay cumulative probablistic undiscounted]]/Table13[[#This Row],[lender discounter]]</f>
        <v>4.8647682368566502E-20</v>
      </c>
    </row>
    <row r="194" spans="1:45" s="3" customFormat="1">
      <c r="A194" s="3">
        <v>198</v>
      </c>
      <c r="B194" s="8">
        <v>3.2000000000000001E-2</v>
      </c>
      <c r="C194" s="3">
        <v>0</v>
      </c>
      <c r="D194" s="12">
        <v>3.2000000000000001E-2</v>
      </c>
      <c r="E194" s="66">
        <v>0.99999999989999999</v>
      </c>
      <c r="F194" s="13">
        <f>1-Table13[[#This Row],[one-year conditional mortality AT ISSUE]]</f>
        <v>1.000000082740371E-10</v>
      </c>
      <c r="G194" s="13">
        <f>PRODUCT(F$17:F194)</f>
        <v>0</v>
      </c>
      <c r="H194" s="13">
        <f>Table13[[#This Row],[one-year conditional survival AT ISSUE]]*(1-Table13[[#This Row],[Lapse rate]])</f>
        <v>9.6800008009267909E-11</v>
      </c>
      <c r="I194" s="13">
        <f>PRODUCT(H$17:H194)</f>
        <v>0</v>
      </c>
      <c r="J194" s="13">
        <f>G193*Table13[[#This Row],[one-year conditional mortality AT ISSUE]]</f>
        <v>0</v>
      </c>
      <c r="K194" s="10">
        <f>I193*Table13[[#This Row],[one-year conditional mortality AT ISSUE]]</f>
        <v>0</v>
      </c>
      <c r="L194" s="3">
        <f t="shared" si="4"/>
        <v>2.4615991981893799E-3</v>
      </c>
      <c r="M194" s="44">
        <v>1</v>
      </c>
      <c r="N194" s="44">
        <f>Table13[[#This Row],[one-year conditional mortality AT ISSUE]]/Table13[[#This Row],[one-year conditional persistency AT ISSUE]]</f>
        <v>10330577656.607809</v>
      </c>
      <c r="O194" s="4">
        <f>(1+$B$14)^(Table13[[#This Row],[age since issue]]-$A$17)</f>
        <v>441.00337521566541</v>
      </c>
      <c r="P194" s="5">
        <f>(Table13[[#This Row],[level premium unmarked-up]]*Table13[[#This Row],[unconditional persistency AT ISSUE]]-Table13[[#This Row],[Death benefit pay probability]])</f>
        <v>0</v>
      </c>
      <c r="Q194" s="4">
        <f>Table13[[#This Row],[Issuer profit with unmarked-up level premium]]/Table13[[#This Row],[Issuer discounter at issue]]</f>
        <v>0</v>
      </c>
      <c r="R194" s="4">
        <f>(Table13[[#This Row],[variable premium unmarked up]]*Table13[[#This Row],[unconditional persistency AT ISSUE]]-Table13[[#This Row],[Death benefit pay probability]])</f>
        <v>0</v>
      </c>
      <c r="S194" s="6">
        <f>Table13[[#This Row],[level premium unmarked-up]]*(1+$B$15)</f>
        <v>2.4615991981893799E-3</v>
      </c>
      <c r="T194" s="6">
        <f>MIN(Table13[[#This Row],[variable premium unmarked up]]*(1+$B$15),1)</f>
        <v>1</v>
      </c>
      <c r="U194" s="6">
        <f>Table13[[#This Row],[level premium marked up]]-Table13[[#This Row],[variable premium marked up]]</f>
        <v>-0.99753840080181067</v>
      </c>
      <c r="V194" s="6">
        <f>Table13[[#This Row],[additional cash]]+V193*(1+$D$2)</f>
        <v>-105.50481276697127</v>
      </c>
      <c r="W194" s="12">
        <v>0.5</v>
      </c>
      <c r="X194" s="13">
        <f>1-Table13[[#This Row],[one-year conditional mortality NOW]]</f>
        <v>0.5</v>
      </c>
      <c r="Y194" s="49">
        <f>PRODUCT(X$17:X194)</f>
        <v>1.4632370301222908E-19</v>
      </c>
      <c r="Z194" s="13">
        <f>Table13[[#This Row],[one-year conditional survival NOW]]*(1-Table13[[#This Row],[Lapse rate]])</f>
        <v>0.48399999999999999</v>
      </c>
      <c r="AA194" s="13">
        <f>PRODUCT(Z$17:Z194)</f>
        <v>3.9580323959411324E-21</v>
      </c>
      <c r="AB194" s="50">
        <f>Y193*Table13[[#This Row],[one-year conditional mortality NOW]]</f>
        <v>1.4632370301222908E-19</v>
      </c>
      <c r="AC194" s="14">
        <v>1.9699999999999999E-2</v>
      </c>
      <c r="AD194" s="28">
        <f>(1+Table13[[#This Row],[Yield curve now]])^(Table13[[#This Row],[age since issue]]-$B$11)</f>
        <v>8.7184351720675597</v>
      </c>
      <c r="AE194" s="46">
        <f t="shared" si="5"/>
        <v>58466.53800535512</v>
      </c>
      <c r="AF194" s="42">
        <f>1-Table13[[#This Row],[cumulative debt until t]]</f>
        <v>-58465.53800535512</v>
      </c>
      <c r="AG194" s="46">
        <f>Table13[[#This Row],[cumulative debt until t]]*Table13[[#This Row],[Unconditional mortality NOW]]/Table13[[#This Row],[discouter with yield curve]]</f>
        <v>9.8125869773715085E-16</v>
      </c>
      <c r="AH194" s="48">
        <f>Table13[[#This Row],[Unconditional mortality NOW]]/Table13[[#This Row],[discouter with yield curve]]</f>
        <v>1.6783252971935409E-20</v>
      </c>
      <c r="AI194" s="29">
        <f>Table13[[#This Row],[user profit (death benefit - debt)]]*Table13[[#This Row],[Unconditional mortality NOW]]/Table13[[#This Row],[discouter with yield curve]]</f>
        <v>-9.8124191448417904E-16</v>
      </c>
      <c r="AJ194" s="29">
        <f>(1+$D$4)^(Table13[[#This Row],[age since issue]]-$B$11)</f>
        <v>3.0176751731082008</v>
      </c>
      <c r="AK194" s="57">
        <f>Table13[[#This Row],[level premium marked up]]*Table13[[#This Row],[unconditional survival NOW]]</f>
        <v>3.6019031001100405E-22</v>
      </c>
      <c r="AL194" s="62">
        <f>Table13[[#This Row],[cumulative debt until t]]*Table13[[#This Row],[Unconditional mortality NOW]]</f>
        <v>8.5550403432487866E-15</v>
      </c>
      <c r="AM194" s="47">
        <f>Table13[[#This Row],[probablistic premium stream]]/Table13[[#This Row],[lender discounter]]</f>
        <v>1.1936019927552659E-22</v>
      </c>
      <c r="AN194" s="58">
        <f>Table13[[#This Row],[probablistic repay from borrower]]/Table13[[#This Row],[lender discounter]]</f>
        <v>2.8349772101008167E-15</v>
      </c>
      <c r="AO194" s="47">
        <f>(Table13[[#This Row],[probablistic repay from borrower]]-Table13[[#This Row],[probablistic premium stream]])/Table13[[#This Row],[lender discounter]]</f>
        <v>2.8349770907406176E-15</v>
      </c>
      <c r="AP194" s="46">
        <f>AP193*(1+$D$4)+ Table13[[#This Row],[level premium marked up]]</f>
        <v>0.50409906561949636</v>
      </c>
      <c r="AQ194" s="58">
        <f>AP194*Table13[[#This Row],[Unconditional mortality NOW]]</f>
        <v>7.3761641966449366E-20</v>
      </c>
      <c r="AR194" s="60">
        <f>Table13[[#This Row],[cumulative debt until t]]*Table13[[#This Row],[Unconditional mortality NOW]]</f>
        <v>8.5550403432487866E-15</v>
      </c>
      <c r="AS194" s="58">
        <f>Table13[[#This Row],[lender to pay cumulative probablistic undiscounted]]/Table13[[#This Row],[lender discounter]]</f>
        <v>2.4443201383558783E-20</v>
      </c>
    </row>
    <row r="195" spans="1:45" s="3" customFormat="1">
      <c r="A195" s="3">
        <v>199</v>
      </c>
      <c r="B195" s="8">
        <v>3.2000000000000001E-2</v>
      </c>
      <c r="C195" s="3">
        <v>0</v>
      </c>
      <c r="D195" s="12">
        <v>3.2000000000000001E-2</v>
      </c>
      <c r="E195" s="66">
        <v>0.99999999989999999</v>
      </c>
      <c r="F195" s="13">
        <f>1-Table13[[#This Row],[one-year conditional mortality AT ISSUE]]</f>
        <v>1.000000082740371E-10</v>
      </c>
      <c r="G195" s="13">
        <f>PRODUCT(F$17:F195)</f>
        <v>0</v>
      </c>
      <c r="H195" s="13">
        <f>Table13[[#This Row],[one-year conditional survival AT ISSUE]]*(1-Table13[[#This Row],[Lapse rate]])</f>
        <v>9.6800008009267909E-11</v>
      </c>
      <c r="I195" s="13">
        <f>PRODUCT(H$17:H195)</f>
        <v>0</v>
      </c>
      <c r="J195" s="13">
        <f>G194*Table13[[#This Row],[one-year conditional mortality AT ISSUE]]</f>
        <v>0</v>
      </c>
      <c r="K195" s="10">
        <f>I194*Table13[[#This Row],[one-year conditional mortality AT ISSUE]]</f>
        <v>0</v>
      </c>
      <c r="L195" s="3">
        <f t="shared" si="4"/>
        <v>2.4615991981893799E-3</v>
      </c>
      <c r="M195" s="44">
        <v>1</v>
      </c>
      <c r="N195" s="44">
        <f>Table13[[#This Row],[one-year conditional mortality AT ISSUE]]/Table13[[#This Row],[one-year conditional persistency AT ISSUE]]</f>
        <v>10330577656.607809</v>
      </c>
      <c r="O195" s="4">
        <f>(1+$B$14)^(Table13[[#This Row],[age since issue]]-$A$17)</f>
        <v>456.43849334821368</v>
      </c>
      <c r="P195" s="5">
        <f>(Table13[[#This Row],[level premium unmarked-up]]*Table13[[#This Row],[unconditional persistency AT ISSUE]]-Table13[[#This Row],[Death benefit pay probability]])</f>
        <v>0</v>
      </c>
      <c r="Q195" s="4">
        <f>Table13[[#This Row],[Issuer profit with unmarked-up level premium]]/Table13[[#This Row],[Issuer discounter at issue]]</f>
        <v>0</v>
      </c>
      <c r="R195" s="4">
        <f>(Table13[[#This Row],[variable premium unmarked up]]*Table13[[#This Row],[unconditional persistency AT ISSUE]]-Table13[[#This Row],[Death benefit pay probability]])</f>
        <v>0</v>
      </c>
      <c r="S195" s="6">
        <f>Table13[[#This Row],[level premium unmarked-up]]*(1+$B$15)</f>
        <v>2.4615991981893799E-3</v>
      </c>
      <c r="T195" s="6">
        <f>MIN(Table13[[#This Row],[variable premium unmarked up]]*(1+$B$15),1)</f>
        <v>1</v>
      </c>
      <c r="U195" s="6">
        <f>Table13[[#This Row],[level premium marked up]]-Table13[[#This Row],[variable premium marked up]]</f>
        <v>-0.99753840080181067</v>
      </c>
      <c r="V195" s="6">
        <f>Table13[[#This Row],[additional cash]]+V194*(1+$D$2)</f>
        <v>-106.60785598054005</v>
      </c>
      <c r="W195" s="12">
        <v>0.5</v>
      </c>
      <c r="X195" s="13">
        <f>1-Table13[[#This Row],[one-year conditional mortality NOW]]</f>
        <v>0.5</v>
      </c>
      <c r="Y195" s="49">
        <f>PRODUCT(X$17:X195)</f>
        <v>7.3161851506114538E-20</v>
      </c>
      <c r="Z195" s="13">
        <f>Table13[[#This Row],[one-year conditional survival NOW]]*(1-Table13[[#This Row],[Lapse rate]])</f>
        <v>0.48399999999999999</v>
      </c>
      <c r="AA195" s="13">
        <f>PRODUCT(Z$17:Z195)</f>
        <v>1.9156876796355082E-21</v>
      </c>
      <c r="AB195" s="50">
        <f>Y194*Table13[[#This Row],[one-year conditional mortality NOW]]</f>
        <v>7.3161851506114538E-20</v>
      </c>
      <c r="AC195" s="14">
        <v>1.9699999999999999E-2</v>
      </c>
      <c r="AD195" s="28">
        <f>(1+Table13[[#This Row],[Yield curve now]])^(Table13[[#This Row],[age since issue]]-$B$11)</f>
        <v>8.8901883449572932</v>
      </c>
      <c r="AE195" s="46">
        <f t="shared" si="5"/>
        <v>66871.422427220896</v>
      </c>
      <c r="AF195" s="42">
        <f>1-Table13[[#This Row],[cumulative debt until t]]</f>
        <v>-66870.422427220896</v>
      </c>
      <c r="AG195" s="46">
        <f>Table13[[#This Row],[cumulative debt until t]]*Table13[[#This Row],[Unconditional mortality NOW]]/Table13[[#This Row],[discouter with yield curve]]</f>
        <v>5.5031872079494112E-16</v>
      </c>
      <c r="AH195" s="48">
        <f>Table13[[#This Row],[Unconditional mortality NOW]]/Table13[[#This Row],[discouter with yield curve]]</f>
        <v>8.2295052328799671E-21</v>
      </c>
      <c r="AI195" s="29">
        <f>Table13[[#This Row],[user profit (death benefit - debt)]]*Table13[[#This Row],[Unconditional mortality NOW]]/Table13[[#This Row],[discouter with yield curve]]</f>
        <v>-5.5031049128970827E-16</v>
      </c>
      <c r="AJ195" s="29">
        <f>(1+$D$4)^(Table13[[#This Row],[age since issue]]-$B$11)</f>
        <v>3.0478519248392835</v>
      </c>
      <c r="AK195" s="57">
        <f>Table13[[#This Row],[level premium marked up]]*Table13[[#This Row],[unconditional survival NOW]]</f>
        <v>1.8009515500550203E-22</v>
      </c>
      <c r="AL195" s="62">
        <f>Table13[[#This Row],[cumulative debt until t]]*Table13[[#This Row],[Unconditional mortality NOW]]</f>
        <v>4.8924370776229925E-15</v>
      </c>
      <c r="AM195" s="47">
        <f>Table13[[#This Row],[probablistic premium stream]]/Table13[[#This Row],[lender discounter]]</f>
        <v>5.908920756214186E-23</v>
      </c>
      <c r="AN195" s="58">
        <f>Table13[[#This Row],[probablistic repay from borrower]]/Table13[[#This Row],[lender discounter]]</f>
        <v>1.6052082575766787E-15</v>
      </c>
      <c r="AO195" s="47">
        <f>(Table13[[#This Row],[probablistic repay from borrower]]-Table13[[#This Row],[probablistic premium stream]])/Table13[[#This Row],[lender discounter]]</f>
        <v>1.6052081984874713E-15</v>
      </c>
      <c r="AP195" s="46">
        <f>AP194*(1+$D$4)+ Table13[[#This Row],[level premium marked up]]</f>
        <v>0.5116016554738807</v>
      </c>
      <c r="AQ195" s="58">
        <f>AP195*Table13[[#This Row],[Unconditional mortality NOW]]</f>
        <v>3.7429724348062428E-20</v>
      </c>
      <c r="AR195" s="60">
        <f>Table13[[#This Row],[cumulative debt until t]]*Table13[[#This Row],[Unconditional mortality NOW]]</f>
        <v>4.8924370776229925E-15</v>
      </c>
      <c r="AS195" s="58">
        <f>Table13[[#This Row],[lender to pay cumulative probablistic undiscounted]]/Table13[[#This Row],[lender discounter]]</f>
        <v>1.228068989934153E-20</v>
      </c>
    </row>
    <row r="196" spans="1:45" s="3" customFormat="1">
      <c r="A196" s="3">
        <v>200</v>
      </c>
      <c r="B196" s="8">
        <v>3.2000000000000001E-2</v>
      </c>
      <c r="C196" s="3">
        <v>0</v>
      </c>
      <c r="D196" s="12">
        <v>3.2000000000000001E-2</v>
      </c>
      <c r="E196" s="66">
        <v>0.99999999989999999</v>
      </c>
      <c r="F196" s="13">
        <f>1-Table13[[#This Row],[one-year conditional mortality AT ISSUE]]</f>
        <v>1.000000082740371E-10</v>
      </c>
      <c r="G196" s="13">
        <f>PRODUCT(F$17:F196)</f>
        <v>0</v>
      </c>
      <c r="H196" s="13">
        <f>Table13[[#This Row],[one-year conditional survival AT ISSUE]]*(1-Table13[[#This Row],[Lapse rate]])</f>
        <v>9.6800008009267909E-11</v>
      </c>
      <c r="I196" s="13">
        <f>PRODUCT(H$17:H196)</f>
        <v>0</v>
      </c>
      <c r="J196" s="13">
        <f>G195*Table13[[#This Row],[one-year conditional mortality AT ISSUE]]</f>
        <v>0</v>
      </c>
      <c r="K196" s="10">
        <f>I195*Table13[[#This Row],[one-year conditional mortality AT ISSUE]]</f>
        <v>0</v>
      </c>
      <c r="L196" s="3">
        <f t="shared" si="4"/>
        <v>2.4615991981893799E-3</v>
      </c>
      <c r="M196" s="44">
        <v>1</v>
      </c>
      <c r="N196" s="44">
        <f>Table13[[#This Row],[one-year conditional mortality AT ISSUE]]/Table13[[#This Row],[one-year conditional persistency AT ISSUE]]</f>
        <v>10330577656.607809</v>
      </c>
      <c r="O196" s="4">
        <f>(1+$B$14)^(Table13[[#This Row],[age since issue]]-$A$17)</f>
        <v>472.41384061540111</v>
      </c>
      <c r="P196" s="5">
        <f>(Table13[[#This Row],[level premium unmarked-up]]*Table13[[#This Row],[unconditional persistency AT ISSUE]]-Table13[[#This Row],[Death benefit pay probability]])</f>
        <v>0</v>
      </c>
      <c r="Q196" s="4">
        <f>Table13[[#This Row],[Issuer profit with unmarked-up level premium]]/Table13[[#This Row],[Issuer discounter at issue]]</f>
        <v>0</v>
      </c>
      <c r="R196" s="4">
        <f>(Table13[[#This Row],[variable premium unmarked up]]*Table13[[#This Row],[unconditional persistency AT ISSUE]]-Table13[[#This Row],[Death benefit pay probability]])</f>
        <v>0</v>
      </c>
      <c r="S196" s="6">
        <f>Table13[[#This Row],[level premium unmarked-up]]*(1+$B$15)</f>
        <v>2.4615991981893799E-3</v>
      </c>
      <c r="T196" s="6">
        <f>MIN(Table13[[#This Row],[variable premium unmarked up]]*(1+$B$15),1)</f>
        <v>1</v>
      </c>
      <c r="U196" s="6">
        <f>Table13[[#This Row],[level premium marked up]]-Table13[[#This Row],[variable premium marked up]]</f>
        <v>-0.99753840080181067</v>
      </c>
      <c r="V196" s="6">
        <f>Table13[[#This Row],[additional cash]]+V195*(1+$D$2)</f>
        <v>-107.71200223732239</v>
      </c>
      <c r="W196" s="12">
        <v>0.5</v>
      </c>
      <c r="X196" s="13">
        <f>1-Table13[[#This Row],[one-year conditional mortality NOW]]</f>
        <v>0.5</v>
      </c>
      <c r="Y196" s="49">
        <f>PRODUCT(X$17:X196)</f>
        <v>3.6580925753057269E-20</v>
      </c>
      <c r="Z196" s="13">
        <f>Table13[[#This Row],[one-year conditional survival NOW]]*(1-Table13[[#This Row],[Lapse rate]])</f>
        <v>0.48399999999999999</v>
      </c>
      <c r="AA196" s="13">
        <f>PRODUCT(Z$17:Z196)</f>
        <v>9.2719283694358591E-22</v>
      </c>
      <c r="AB196" s="50">
        <f>Y195*Table13[[#This Row],[one-year conditional mortality NOW]]</f>
        <v>3.6580925753057269E-20</v>
      </c>
      <c r="AC196" s="14">
        <v>1.9699999999999999E-2</v>
      </c>
      <c r="AD196" s="28">
        <f>(1+Table13[[#This Row],[Yield curve now]])^(Table13[[#This Row],[age since issue]]-$B$11)</f>
        <v>9.0653250553529521</v>
      </c>
      <c r="AE196" s="46">
        <f t="shared" si="5"/>
        <v>76484.554521879851</v>
      </c>
      <c r="AF196" s="42">
        <f>1-Table13[[#This Row],[cumulative debt until t]]</f>
        <v>-76483.554521879851</v>
      </c>
      <c r="AG196" s="46">
        <f>Table13[[#This Row],[cumulative debt until t]]*Table13[[#This Row],[Unconditional mortality NOW]]/Table13[[#This Row],[discouter with yield curve]]</f>
        <v>3.0863491304908471E-16</v>
      </c>
      <c r="AH196" s="48">
        <f>Table13[[#This Row],[Unconditional mortality NOW]]/Table13[[#This Row],[discouter with yield curve]]</f>
        <v>4.0352580331862149E-21</v>
      </c>
      <c r="AI196" s="29">
        <f>Table13[[#This Row],[user profit (death benefit - debt)]]*Table13[[#This Row],[Unconditional mortality NOW]]/Table13[[#This Row],[discouter with yield curve]]</f>
        <v>-3.0863087779105155E-16</v>
      </c>
      <c r="AJ196" s="29">
        <f>(1+$D$4)^(Table13[[#This Row],[age since issue]]-$B$11)</f>
        <v>3.0783304440876766</v>
      </c>
      <c r="AK196" s="57">
        <f>Table13[[#This Row],[level premium marked up]]*Table13[[#This Row],[unconditional survival NOW]]</f>
        <v>9.0047577502751013E-23</v>
      </c>
      <c r="AL196" s="62">
        <f>Table13[[#This Row],[cumulative debt until t]]*Table13[[#This Row],[Unconditional mortality NOW]]</f>
        <v>2.7978758102205473E-15</v>
      </c>
      <c r="AM196" s="47">
        <f>Table13[[#This Row],[probablistic premium stream]]/Table13[[#This Row],[lender discounter]]</f>
        <v>2.9252082951555373E-23</v>
      </c>
      <c r="AN196" s="58">
        <f>Table13[[#This Row],[probablistic repay from borrower]]/Table13[[#This Row],[lender discounter]]</f>
        <v>9.0889391539957062E-16</v>
      </c>
      <c r="AO196" s="47">
        <f>(Table13[[#This Row],[probablistic repay from borrower]]-Table13[[#This Row],[probablistic premium stream]])/Table13[[#This Row],[lender discounter]]</f>
        <v>9.0889388614748768E-16</v>
      </c>
      <c r="AP196" s="46">
        <f>AP195*(1+$D$4)+ Table13[[#This Row],[level premium marked up]]</f>
        <v>0.51917927122680885</v>
      </c>
      <c r="AQ196" s="58">
        <f>AP196*Table13[[#This Row],[Unconditional mortality NOW]]</f>
        <v>1.8992058373274276E-20</v>
      </c>
      <c r="AR196" s="60">
        <f>Table13[[#This Row],[cumulative debt until t]]*Table13[[#This Row],[Unconditional mortality NOW]]</f>
        <v>2.7978758102205473E-15</v>
      </c>
      <c r="AS196" s="58">
        <f>Table13[[#This Row],[lender to pay cumulative probablistic undiscounted]]/Table13[[#This Row],[lender discounter]]</f>
        <v>6.1695970326223195E-21</v>
      </c>
    </row>
    <row r="197" spans="1:45" s="3" customFormat="1">
      <c r="A197" s="3">
        <v>201</v>
      </c>
      <c r="B197" s="8">
        <v>3.2000000000000001E-2</v>
      </c>
      <c r="C197" s="3">
        <v>0</v>
      </c>
      <c r="D197" s="12">
        <v>3.2000000000000001E-2</v>
      </c>
      <c r="E197" s="67">
        <v>0.99999999989999999</v>
      </c>
      <c r="F197" s="31">
        <f>1-Table13[[#This Row],[one-year conditional mortality AT ISSUE]]</f>
        <v>1.000000082740371E-10</v>
      </c>
      <c r="G197" s="69">
        <f>PRODUCT(F$17:F197)</f>
        <v>0</v>
      </c>
      <c r="H197" s="31">
        <f>Table13[[#This Row],[one-year conditional survival AT ISSUE]]*(1-Table13[[#This Row],[Lapse rate]])</f>
        <v>9.6800008009267909E-11</v>
      </c>
      <c r="I197" s="69">
        <f>PRODUCT(H$17:H197)</f>
        <v>0</v>
      </c>
      <c r="J197" s="31">
        <f>G196*Table13[[#This Row],[one-year conditional mortality AT ISSUE]]</f>
        <v>0</v>
      </c>
      <c r="K197" s="32">
        <f>I196*Table13[[#This Row],[one-year conditional mortality AT ISSUE]]</f>
        <v>0</v>
      </c>
      <c r="L197" s="3">
        <f t="shared" si="4"/>
        <v>2.4615991981893799E-3</v>
      </c>
      <c r="M197" s="44">
        <v>1</v>
      </c>
      <c r="N197" s="44">
        <f>Table13[[#This Row],[one-year conditional mortality AT ISSUE]]/Table13[[#This Row],[one-year conditional persistency AT ISSUE]]</f>
        <v>10330577656.607809</v>
      </c>
      <c r="O197" s="4">
        <f>(1+$B$14)^(Table13[[#This Row],[age since issue]]-$A$17)</f>
        <v>488.94832503694016</v>
      </c>
      <c r="P197" s="5">
        <f>(Table13[[#This Row],[level premium unmarked-up]]*Table13[[#This Row],[unconditional persistency AT ISSUE]]-Table13[[#This Row],[Death benefit pay probability]])</f>
        <v>0</v>
      </c>
      <c r="Q197" s="4">
        <f>Table13[[#This Row],[Issuer profit with unmarked-up level premium]]/Table13[[#This Row],[Issuer discounter at issue]]</f>
        <v>0</v>
      </c>
      <c r="R197" s="4">
        <f>(Table13[[#This Row],[variable premium unmarked up]]*Table13[[#This Row],[unconditional persistency AT ISSUE]]-Table13[[#This Row],[Death benefit pay probability]])</f>
        <v>0</v>
      </c>
      <c r="S197" s="6">
        <f>Table13[[#This Row],[level premium unmarked-up]]*(1+$B$15)</f>
        <v>2.4615991981893799E-3</v>
      </c>
      <c r="T197" s="6">
        <f>MIN(Table13[[#This Row],[variable premium unmarked up]]*(1+$B$15),1)</f>
        <v>1</v>
      </c>
      <c r="U197" s="6">
        <f>Table13[[#This Row],[level premium marked up]]-Table13[[#This Row],[variable premium marked up]]</f>
        <v>-0.99753840080181067</v>
      </c>
      <c r="V197" s="6">
        <f>Table13[[#This Row],[additional cash]]+V196*(1+$D$2)</f>
        <v>-108.81725264036152</v>
      </c>
      <c r="W197" s="30">
        <v>0.5</v>
      </c>
      <c r="X197" s="31">
        <f>1-Table13[[#This Row],[one-year conditional mortality NOW]]</f>
        <v>0.5</v>
      </c>
      <c r="Y197" s="68">
        <f>PRODUCT(X$17:X197)</f>
        <v>1.8290462876528634E-20</v>
      </c>
      <c r="Z197" s="31">
        <f>Table13[[#This Row],[one-year conditional survival NOW]]*(1-Table13[[#This Row],[Lapse rate]])</f>
        <v>0.48399999999999999</v>
      </c>
      <c r="AA197" s="69">
        <f>PRODUCT(Z$17:Z197)</f>
        <v>4.4876133308069554E-22</v>
      </c>
      <c r="AB197" s="50">
        <f>Y196*Table13[[#This Row],[one-year conditional mortality NOW]]</f>
        <v>1.8290462876528634E-20</v>
      </c>
      <c r="AC197" s="14">
        <v>1.9699999999999999E-2</v>
      </c>
      <c r="AD197" s="28">
        <f>(1+Table13[[#This Row],[Yield curve now]])^(Table13[[#This Row],[age since issue]]-$B$11)</f>
        <v>9.2439119589434053</v>
      </c>
      <c r="AE197" s="46">
        <f t="shared" si="5"/>
        <v>87479.626438508014</v>
      </c>
      <c r="AF197" s="42">
        <f>1-Table13[[#This Row],[cumulative debt until t]]</f>
        <v>-87478.626438508014</v>
      </c>
      <c r="AG197" s="46"/>
      <c r="AH197" s="48"/>
      <c r="AI197" s="29"/>
      <c r="AJ197" s="29">
        <f>(1+$D$4)^(Table13[[#This Row],[age since issue]]-$B$11)</f>
        <v>3.1091137485285536</v>
      </c>
      <c r="AK197" s="57"/>
      <c r="AL197" s="62"/>
      <c r="AM197" s="47"/>
      <c r="AN197" s="58"/>
      <c r="AO197" s="47"/>
      <c r="AP197" s="46"/>
      <c r="AQ197" s="58"/>
      <c r="AR197" s="60"/>
      <c r="AS197" s="58"/>
    </row>
    <row r="198" spans="1:45">
      <c r="A198" s="22" t="s">
        <v>38</v>
      </c>
      <c r="B198" s="34"/>
      <c r="C198" s="22"/>
      <c r="D198" s="70"/>
      <c r="E198" s="36"/>
      <c r="F198" s="37"/>
      <c r="G198" s="37">
        <f>SUBTOTAL(109,Table13[unconditional survival AT ISSUE])</f>
        <v>58.175456503759769</v>
      </c>
      <c r="H198" s="38"/>
      <c r="I198" s="37"/>
      <c r="J198" s="37">
        <f>SUBTOTAL(109,Table13[Unconditional mortality AT ISSUE])</f>
        <v>1</v>
      </c>
      <c r="K198" s="43">
        <f>SUBTOTAL(109,Table13[Death benefit pay probability])</f>
        <v>0.11608778543823001</v>
      </c>
      <c r="L198" s="22"/>
      <c r="M198" s="22"/>
      <c r="N198" s="22"/>
      <c r="O198" s="35"/>
      <c r="P198" s="40"/>
      <c r="Q198" s="41">
        <f>SUBTOTAL(109,Table13[Issuer profit discounted with breakeven premium])</f>
        <v>3.8476806440229734E-3</v>
      </c>
      <c r="R198" s="35"/>
      <c r="S198" s="35"/>
      <c r="T198" s="35"/>
      <c r="U198" s="35"/>
      <c r="V198" s="35"/>
      <c r="W198" s="22"/>
      <c r="X198" s="38"/>
      <c r="Y198" s="37">
        <f>SUBTOTAL(109,Table13[unconditional survival NOW])</f>
        <v>6.2384583142883203</v>
      </c>
      <c r="Z198" s="38"/>
      <c r="AA198" s="37"/>
      <c r="AB198" s="37">
        <f>SUBTOTAL(109,Table13[Unconditional mortality NOW])</f>
        <v>1.0000000000000002</v>
      </c>
      <c r="AC198" s="39"/>
      <c r="AD198" s="16"/>
      <c r="AE198" s="16"/>
      <c r="AF198" s="16"/>
      <c r="AG198" s="54">
        <f>SUBTOTAL(109,Table13[user discounted probablistic loan])</f>
        <v>3.0267199298953561E-2</v>
      </c>
      <c r="AH198" s="51">
        <f>SUBTOTAL(109,Table13[user discounted probablistic death benefit])</f>
        <v>0.94505352515068397</v>
      </c>
      <c r="AI198" s="71">
        <f>SUBTOTAL(109,Table13[user discounted probablistic profit])</f>
        <v>0.91478632585172936</v>
      </c>
      <c r="AJ198" s="53"/>
      <c r="AK198" s="55">
        <f>SUBTOTAL(109,Table13[probablistic premium stream])</f>
        <v>1.5356583984389991E-2</v>
      </c>
      <c r="AL198" s="55">
        <f>SUBTOTAL(109,Table13[probablistic repay from borrower])</f>
        <v>3.4625320518622202E-2</v>
      </c>
      <c r="AM198" s="63">
        <f>SUBTOTAL(109,Table13[probablistic discounted unpaid premium])</f>
        <v>1.4768389549511296E-2</v>
      </c>
      <c r="AN198" s="63">
        <f>SUBTOTAL(109,Table13[probablistic discounted repay])</f>
        <v>3.1146278375097383E-2</v>
      </c>
      <c r="AO198" s="55">
        <f>SUBTOTAL(109,Table13[lender discounted probablistic profit per period])</f>
        <v>1.6377888825586075E-2</v>
      </c>
      <c r="AP198" s="16"/>
      <c r="AQ198" s="59">
        <f>SUBTOTAL(109,Table13[lender to pay cumulative probablistic undiscounted])</f>
        <v>1.8610413253149407E-2</v>
      </c>
      <c r="AR198" s="61">
        <f>SUBTOTAL(109,Table13[lender to receive probablistic undiscounted])</f>
        <v>3.4625320518622202E-2</v>
      </c>
      <c r="AS198" s="59">
        <f>SUBTOTAL(109,Table13[lender to pay cumulative probablistic discounted])</f>
        <v>1.7083767068992652E-2</v>
      </c>
    </row>
    <row r="199" spans="1:45">
      <c r="AG199" s="1">
        <v>0.328229390311439</v>
      </c>
      <c r="AI199" s="40">
        <f>Table13[[#Totals],[user discounted probablistic loan]]-Table13[[#Totals],[user discounted probablistic death benefit]]</f>
        <v>-0.91478632585173036</v>
      </c>
      <c r="AM199" s="22">
        <f>Table13[[#Totals],[probablistic discounted unpaid premium]]/Table13[[#Totals],[probablistic discounted repay]]</f>
        <v>0.47416225372592752</v>
      </c>
    </row>
    <row r="200" spans="1:45">
      <c r="AG200" s="40">
        <f>AG199-Table13[[#Totals],[user discounted probablistic loan]]</f>
        <v>0.29796219101248544</v>
      </c>
    </row>
    <row r="201" spans="1:45">
      <c r="AG201" s="65">
        <f>AG200/AG199</f>
        <v>0.90778644389451335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842D-FED2-9847-B7B6-F2D269E2E45A}">
  <dimension ref="A1:B15"/>
  <sheetViews>
    <sheetView workbookViewId="0">
      <selection activeCell="B15" sqref="A1:B15"/>
    </sheetView>
  </sheetViews>
  <sheetFormatPr baseColWidth="10" defaultRowHeight="16"/>
  <cols>
    <col min="1" max="1" width="19" style="3" bestFit="1" customWidth="1"/>
    <col min="2" max="2" width="10.83203125" style="2"/>
  </cols>
  <sheetData>
    <row r="1" spans="1:2">
      <c r="A1" s="7" t="s">
        <v>0</v>
      </c>
      <c r="B1" s="2" t="s">
        <v>1</v>
      </c>
    </row>
    <row r="2" spans="1:2">
      <c r="A2" s="7" t="s">
        <v>2</v>
      </c>
      <c r="B2" s="2" t="s">
        <v>3</v>
      </c>
    </row>
    <row r="3" spans="1:2">
      <c r="A3" s="7" t="s">
        <v>4</v>
      </c>
      <c r="B3" s="2" t="s">
        <v>5</v>
      </c>
    </row>
    <row r="4" spans="1:2">
      <c r="A4" s="7" t="s">
        <v>6</v>
      </c>
      <c r="B4" s="2" t="s">
        <v>15</v>
      </c>
    </row>
    <row r="5" spans="1:2">
      <c r="A5" s="7" t="s">
        <v>7</v>
      </c>
      <c r="B5" s="2">
        <v>2800285210.75666</v>
      </c>
    </row>
    <row r="6" spans="1:2">
      <c r="A6" s="7" t="s">
        <v>8</v>
      </c>
      <c r="B6" s="2">
        <v>22828.236196000002</v>
      </c>
    </row>
    <row r="7" spans="1:2">
      <c r="A7" s="7" t="s">
        <v>9</v>
      </c>
      <c r="B7" s="2">
        <v>1856207</v>
      </c>
    </row>
    <row r="8" spans="1:2">
      <c r="A8" s="7" t="s">
        <v>10</v>
      </c>
      <c r="B8" s="2">
        <v>17</v>
      </c>
    </row>
    <row r="9" spans="1:2">
      <c r="A9" s="7" t="s">
        <v>11</v>
      </c>
      <c r="B9" s="2">
        <v>21</v>
      </c>
    </row>
    <row r="10" spans="1:2">
      <c r="A10" s="7" t="s">
        <v>12</v>
      </c>
      <c r="B10" s="2">
        <v>27</v>
      </c>
    </row>
    <row r="11" spans="1:2">
      <c r="A11" s="7" t="s">
        <v>13</v>
      </c>
      <c r="B11" s="2" t="b">
        <v>1</v>
      </c>
    </row>
    <row r="12" spans="1:2">
      <c r="A12" s="7" t="s">
        <v>14</v>
      </c>
      <c r="B12" s="2" t="b">
        <v>0</v>
      </c>
    </row>
    <row r="14" spans="1:2">
      <c r="A14" s="3" t="s">
        <v>23</v>
      </c>
      <c r="B14" s="2">
        <v>3.5000000000000003E-2</v>
      </c>
    </row>
    <row r="15" spans="1:2">
      <c r="A15" s="3" t="s">
        <v>24</v>
      </c>
      <c r="B15" s="2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2647-FFF5-7D42-974B-E29AED431949}">
  <dimension ref="A3:C11"/>
  <sheetViews>
    <sheetView workbookViewId="0">
      <selection activeCell="A2" sqref="A2"/>
    </sheetView>
  </sheetViews>
  <sheetFormatPr baseColWidth="10" defaultRowHeight="16"/>
  <sheetData>
    <row r="3" spans="1:3">
      <c r="A3">
        <v>1</v>
      </c>
      <c r="B3">
        <v>3</v>
      </c>
      <c r="C3">
        <f>A3*B3</f>
        <v>3</v>
      </c>
    </row>
    <row r="4" spans="1:3">
      <c r="A4">
        <v>0.5</v>
      </c>
      <c r="B4">
        <v>5</v>
      </c>
      <c r="C4">
        <f t="shared" ref="C4:C5" si="0">A4*B4</f>
        <v>2.5</v>
      </c>
    </row>
    <row r="5" spans="1:3">
      <c r="A5">
        <v>0.3</v>
      </c>
      <c r="B5">
        <v>7</v>
      </c>
      <c r="C5">
        <f t="shared" si="0"/>
        <v>2.1</v>
      </c>
    </row>
    <row r="6" spans="1:3">
      <c r="A6">
        <v>0</v>
      </c>
    </row>
    <row r="8" spans="1:3">
      <c r="A8">
        <v>0</v>
      </c>
    </row>
    <row r="9" spans="1:3">
      <c r="A9">
        <f>A3-A4</f>
        <v>0.5</v>
      </c>
      <c r="B9">
        <f>B3+B7</f>
        <v>3</v>
      </c>
      <c r="C9">
        <f>A9*B9</f>
        <v>1.5</v>
      </c>
    </row>
    <row r="10" spans="1:3">
      <c r="A10">
        <f>A4-A5</f>
        <v>0.2</v>
      </c>
      <c r="B10">
        <f>B4+B9</f>
        <v>8</v>
      </c>
      <c r="C10">
        <f t="shared" ref="C10:C11" si="1">A10*B10</f>
        <v>1.6</v>
      </c>
    </row>
    <row r="11" spans="1:3">
      <c r="A11">
        <f>A5-A6</f>
        <v>0.3</v>
      </c>
      <c r="B11">
        <f>B5+B10</f>
        <v>15</v>
      </c>
      <c r="C11">
        <f t="shared" si="1"/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profile1</vt:lpstr>
      <vt:lpstr>profile2</vt:lpstr>
      <vt:lpstr>profile</vt:lpstr>
      <vt:lpstr>playground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Xu, Jiahua</cp:lastModifiedBy>
  <dcterms:created xsi:type="dcterms:W3CDTF">2021-05-10T19:23:17Z</dcterms:created>
  <dcterms:modified xsi:type="dcterms:W3CDTF">2021-05-11T15:39:13Z</dcterms:modified>
</cp:coreProperties>
</file>